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isitlex.sharepoint.com/sites/Departments/Accounting/Occupancy Tax/"/>
    </mc:Choice>
  </mc:AlternateContent>
  <xr:revisionPtr revIDLastSave="13" documentId="8_{A8391CA5-9742-4E91-8D90-733DB9150512}" xr6:coauthVersionLast="47" xr6:coauthVersionMax="47" xr10:uidLastSave="{3F3CDB6A-C873-4DFE-9F14-DD1071AA7569}"/>
  <bookViews>
    <workbookView xWindow="28680" yWindow="-120" windowWidth="29040" windowHeight="15720" tabRatio="626" firstSheet="15" activeTab="24" xr2:uid="{00000000-000D-0000-FFFF-FFFF00000000}"/>
  </bookViews>
  <sheets>
    <sheet name="2000" sheetId="9" r:id="rId1"/>
    <sheet name="2001" sheetId="1" r:id="rId2"/>
    <sheet name="2002" sheetId="2" r:id="rId3"/>
    <sheet name="2003" sheetId="3" r:id="rId4"/>
    <sheet name="2004" sheetId="4" r:id="rId5"/>
    <sheet name="2005" sheetId="5" r:id="rId6"/>
    <sheet name="2006" sheetId="6" r:id="rId7"/>
    <sheet name="2007" sheetId="7" r:id="rId8"/>
    <sheet name="2008" sheetId="8" r:id="rId9"/>
    <sheet name="2009" sheetId="10" r:id="rId10"/>
    <sheet name="2010" sheetId="12" r:id="rId11"/>
    <sheet name="2011" sheetId="13" r:id="rId12"/>
    <sheet name="2012" sheetId="14" r:id="rId13"/>
    <sheet name="2013" sheetId="15" r:id="rId14"/>
    <sheet name="2014" sheetId="16" r:id="rId15"/>
    <sheet name="2015" sheetId="17" r:id="rId16"/>
    <sheet name="2016" sheetId="19" r:id="rId17"/>
    <sheet name="2017" sheetId="20" r:id="rId18"/>
    <sheet name="2018" sheetId="18" r:id="rId19"/>
    <sheet name="2019" sheetId="21" r:id="rId20"/>
    <sheet name="2020" sheetId="22" r:id="rId21"/>
    <sheet name="2021" sheetId="24" r:id="rId22"/>
    <sheet name="2022" sheetId="25" r:id="rId23"/>
    <sheet name="2023" sheetId="27" r:id="rId24"/>
    <sheet name="2024" sheetId="28" r:id="rId25"/>
    <sheet name="History By Year" sheetId="11" r:id="rId26"/>
    <sheet name="Sheet1" sheetId="26" r:id="rId27"/>
  </sheets>
  <definedNames>
    <definedName name="_xlnm.Print_Area" localSheetId="7">'2007'!$A$1:$N$76</definedName>
    <definedName name="_xlnm.Print_Titles" localSheetId="0">'2000'!$1:$1</definedName>
    <definedName name="_xlnm.Print_Titles" localSheetId="1">'2001'!$1:$1</definedName>
    <definedName name="_xlnm.Print_Titles" localSheetId="2">'2002'!$A:$B,'2002'!$1:$1</definedName>
    <definedName name="_xlnm.Print_Titles" localSheetId="3">'2003'!$1:$1</definedName>
    <definedName name="_xlnm.Print_Titles" localSheetId="4">'2004'!$1:$1</definedName>
    <definedName name="_xlnm.Print_Titles" localSheetId="5">'2005'!$1:$1</definedName>
    <definedName name="_xlnm.Print_Titles" localSheetId="6">'2006'!$1:$1</definedName>
    <definedName name="_xlnm.Print_Titles" localSheetId="7">'2007'!$1:$1</definedName>
    <definedName name="_xlnm.Print_Titles" localSheetId="8">'2008'!$1:$1</definedName>
    <definedName name="_xlnm.Print_Titles" localSheetId="9">'2009'!$1:$1</definedName>
    <definedName name="_xlnm.Print_Titles" localSheetId="10">'2010'!$1:$1</definedName>
    <definedName name="_xlnm.Print_Titles" localSheetId="11">'2011'!$1:$1</definedName>
    <definedName name="_xlnm.Print_Titles" localSheetId="12">'2012'!$1:$1</definedName>
    <definedName name="_xlnm.Print_Titles" localSheetId="13">'2013'!$1:$1</definedName>
    <definedName name="_xlnm.Print_Titles" localSheetId="14">'2014'!$1:$1</definedName>
    <definedName name="_xlnm.Print_Titles" localSheetId="15">'2015'!$1:$1</definedName>
    <definedName name="_xlnm.Print_Titles" localSheetId="16">'2016'!$1:$1</definedName>
    <definedName name="_xlnm.Print_Titles" localSheetId="17">'2017'!$1:$1</definedName>
    <definedName name="_xlnm.Print_Titles" localSheetId="25">'History By Year'!$2:$2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0" i="28" l="1"/>
  <c r="I110" i="28"/>
  <c r="G110" i="28"/>
  <c r="AN75" i="28"/>
  <c r="X4" i="28"/>
  <c r="U104" i="28"/>
  <c r="AN104" i="28" s="1"/>
  <c r="U103" i="28"/>
  <c r="AN103" i="28" s="1"/>
  <c r="U102" i="28"/>
  <c r="AN102" i="28" s="1"/>
  <c r="U101" i="28"/>
  <c r="AN101" i="28" s="1"/>
  <c r="U100" i="28"/>
  <c r="AN100" i="28" s="1"/>
  <c r="U99" i="28"/>
  <c r="AN99" i="28" s="1"/>
  <c r="U98" i="28"/>
  <c r="AN98" i="28" s="1"/>
  <c r="U97" i="28"/>
  <c r="AN97" i="28" s="1"/>
  <c r="U96" i="28"/>
  <c r="AN96" i="28" s="1"/>
  <c r="U95" i="28"/>
  <c r="AN95" i="28" s="1"/>
  <c r="U94" i="28"/>
  <c r="AN94" i="28" s="1"/>
  <c r="U93" i="28"/>
  <c r="AN93" i="28" s="1"/>
  <c r="U92" i="28"/>
  <c r="AN92" i="28" s="1"/>
  <c r="U91" i="28"/>
  <c r="AN91" i="28" s="1"/>
  <c r="U90" i="28"/>
  <c r="AN90" i="28" s="1"/>
  <c r="U89" i="28"/>
  <c r="AN89" i="28" s="1"/>
  <c r="U88" i="28"/>
  <c r="AN88" i="28" s="1"/>
  <c r="U87" i="28"/>
  <c r="AN87" i="28" s="1"/>
  <c r="U86" i="28"/>
  <c r="AN86" i="28" s="1"/>
  <c r="U85" i="28"/>
  <c r="AN85" i="28" s="1"/>
  <c r="U84" i="28"/>
  <c r="AN84" i="28" s="1"/>
  <c r="U83" i="28"/>
  <c r="AN83" i="28" s="1"/>
  <c r="U82" i="28"/>
  <c r="AN82" i="28" s="1"/>
  <c r="U81" i="28"/>
  <c r="AN81" i="28" s="1"/>
  <c r="U80" i="28"/>
  <c r="AN80" i="28" s="1"/>
  <c r="U79" i="28"/>
  <c r="AN79" i="28" s="1"/>
  <c r="U77" i="28"/>
  <c r="AN77" i="28" s="1"/>
  <c r="U76" i="28"/>
  <c r="AN76" i="28" s="1"/>
  <c r="U75" i="28"/>
  <c r="U74" i="28"/>
  <c r="AN74" i="28" s="1"/>
  <c r="U73" i="28"/>
  <c r="AN73" i="28" s="1"/>
  <c r="U72" i="28"/>
  <c r="AN72" i="28" s="1"/>
  <c r="U71" i="28"/>
  <c r="AN71" i="28" s="1"/>
  <c r="U68" i="28"/>
  <c r="AN68" i="28" s="1"/>
  <c r="U67" i="28"/>
  <c r="AN67" i="28" s="1"/>
  <c r="U66" i="28"/>
  <c r="AN66" i="28" s="1"/>
  <c r="U65" i="28"/>
  <c r="AN65" i="28" s="1"/>
  <c r="U64" i="28"/>
  <c r="AN64" i="28" s="1"/>
  <c r="U63" i="28"/>
  <c r="AN63" i="28" s="1"/>
  <c r="U62" i="28"/>
  <c r="AN62" i="28" s="1"/>
  <c r="U61" i="28"/>
  <c r="AN61" i="28" s="1"/>
  <c r="U60" i="28"/>
  <c r="AN60" i="28" s="1"/>
  <c r="U59" i="28"/>
  <c r="AN59" i="28" s="1"/>
  <c r="U58" i="28"/>
  <c r="AN58" i="28" s="1"/>
  <c r="U57" i="28"/>
  <c r="AN57" i="28" s="1"/>
  <c r="U56" i="28"/>
  <c r="AN56" i="28" s="1"/>
  <c r="U55" i="28"/>
  <c r="AN55" i="28" s="1"/>
  <c r="U54" i="28"/>
  <c r="AN54" i="28" s="1"/>
  <c r="U53" i="28"/>
  <c r="AN53" i="28" s="1"/>
  <c r="U52" i="28"/>
  <c r="AN52" i="28" s="1"/>
  <c r="U51" i="28"/>
  <c r="AN51" i="28" s="1"/>
  <c r="U50" i="28"/>
  <c r="AN50" i="28" s="1"/>
  <c r="U49" i="28"/>
  <c r="AN49" i="28" s="1"/>
  <c r="U48" i="28"/>
  <c r="AN48" i="28" s="1"/>
  <c r="U47" i="28"/>
  <c r="AN47" i="28" s="1"/>
  <c r="U46" i="28"/>
  <c r="AN46" i="28" s="1"/>
  <c r="U45" i="28"/>
  <c r="AN45" i="28" s="1"/>
  <c r="U44" i="28"/>
  <c r="AN44" i="28" s="1"/>
  <c r="U43" i="28"/>
  <c r="AN43" i="28" s="1"/>
  <c r="U42" i="28"/>
  <c r="AN42" i="28" s="1"/>
  <c r="U41" i="28"/>
  <c r="AN41" i="28" s="1"/>
  <c r="Q115" i="27"/>
  <c r="P115" i="27"/>
  <c r="O115" i="27"/>
  <c r="N115" i="27"/>
  <c r="M115" i="27"/>
  <c r="L115" i="27"/>
  <c r="K115" i="27"/>
  <c r="J115" i="27"/>
  <c r="I115" i="27"/>
  <c r="H115" i="27"/>
  <c r="G115" i="27"/>
  <c r="F115" i="27"/>
  <c r="R104" i="28"/>
  <c r="R103" i="28"/>
  <c r="R102" i="28"/>
  <c r="R101" i="28"/>
  <c r="R100" i="28"/>
  <c r="R99" i="28"/>
  <c r="R98" i="28"/>
  <c r="R97" i="28"/>
  <c r="R96" i="28"/>
  <c r="R95" i="28"/>
  <c r="R94" i="28"/>
  <c r="R93" i="28"/>
  <c r="R92" i="28"/>
  <c r="R91" i="28"/>
  <c r="R90" i="28"/>
  <c r="R89" i="28"/>
  <c r="R88" i="28"/>
  <c r="R87" i="28"/>
  <c r="R86" i="28"/>
  <c r="R85" i="28"/>
  <c r="R84" i="28"/>
  <c r="R83" i="28"/>
  <c r="R82" i="28"/>
  <c r="R81" i="28"/>
  <c r="R80" i="28"/>
  <c r="R79" i="28"/>
  <c r="R77" i="28"/>
  <c r="R76" i="28"/>
  <c r="R75" i="28"/>
  <c r="R74" i="28"/>
  <c r="R73" i="28"/>
  <c r="R72" i="28"/>
  <c r="R71" i="28"/>
  <c r="R68" i="28"/>
  <c r="R67" i="28"/>
  <c r="R66" i="28"/>
  <c r="R65" i="28"/>
  <c r="R64" i="28"/>
  <c r="R63" i="28"/>
  <c r="R62" i="28"/>
  <c r="R61" i="28"/>
  <c r="R60" i="28"/>
  <c r="R59" i="28"/>
  <c r="R58" i="28"/>
  <c r="R57" i="28"/>
  <c r="R56" i="28"/>
  <c r="R55" i="28"/>
  <c r="R54" i="28"/>
  <c r="R53" i="28"/>
  <c r="R52" i="28"/>
  <c r="R51" i="28"/>
  <c r="R50" i="28"/>
  <c r="R49" i="28"/>
  <c r="R48" i="28"/>
  <c r="R47" i="28"/>
  <c r="R46" i="28"/>
  <c r="R45" i="28"/>
  <c r="R44" i="28"/>
  <c r="R43" i="28"/>
  <c r="R42" i="28"/>
  <c r="R41" i="28"/>
  <c r="N109" i="28"/>
  <c r="M78" i="28"/>
  <c r="U78" i="28" s="1"/>
  <c r="AN78" i="28" s="1"/>
  <c r="M109" i="28"/>
  <c r="M108" i="28"/>
  <c r="R78" i="28" l="1"/>
  <c r="AU19" i="28"/>
  <c r="AV19" i="28" s="1"/>
  <c r="AW19" i="28" s="1"/>
  <c r="AU20" i="28"/>
  <c r="AV20" i="28" s="1"/>
  <c r="AW20" i="28" s="1"/>
  <c r="AK104" i="28"/>
  <c r="AK103" i="28"/>
  <c r="AK102" i="28"/>
  <c r="AK101" i="28"/>
  <c r="AK99" i="28"/>
  <c r="AK98" i="28"/>
  <c r="AK97" i="28"/>
  <c r="AK96" i="28"/>
  <c r="AK95" i="28"/>
  <c r="AK94" i="28"/>
  <c r="AK93" i="28"/>
  <c r="AK92" i="28"/>
  <c r="AK91" i="28"/>
  <c r="AK90" i="28"/>
  <c r="AK89" i="28"/>
  <c r="AK88" i="28"/>
  <c r="AK87" i="28"/>
  <c r="AK85" i="28"/>
  <c r="AK84" i="28"/>
  <c r="AK83" i="28"/>
  <c r="AK82" i="28"/>
  <c r="AK81" i="28"/>
  <c r="AK80" i="28"/>
  <c r="AK79" i="28"/>
  <c r="AK78" i="28"/>
  <c r="AK77" i="28"/>
  <c r="AK76" i="28"/>
  <c r="AK75" i="28"/>
  <c r="AK73" i="28"/>
  <c r="AK74" i="28"/>
  <c r="AK72" i="28"/>
  <c r="AK71" i="28"/>
  <c r="AK70" i="28"/>
  <c r="AK69" i="28"/>
  <c r="AK68" i="28"/>
  <c r="AK67" i="28"/>
  <c r="AK66" i="28"/>
  <c r="AK64" i="28"/>
  <c r="AK65" i="28"/>
  <c r="AK63" i="28"/>
  <c r="AK62" i="28"/>
  <c r="AK61" i="28"/>
  <c r="AK60" i="28"/>
  <c r="AK59" i="28"/>
  <c r="AK58" i="28"/>
  <c r="AK57" i="28"/>
  <c r="AK56" i="28"/>
  <c r="AK55" i="28"/>
  <c r="AK54" i="28"/>
  <c r="AK53" i="28"/>
  <c r="AK52" i="28"/>
  <c r="AK51" i="28"/>
  <c r="AK50" i="28"/>
  <c r="AK49" i="28"/>
  <c r="AK48" i="28"/>
  <c r="AK47" i="28"/>
  <c r="AK46" i="28"/>
  <c r="AK45" i="28"/>
  <c r="AK44" i="28"/>
  <c r="AK43" i="28"/>
  <c r="AK42" i="28"/>
  <c r="AK41" i="28"/>
  <c r="AK40" i="28"/>
  <c r="AK39" i="28"/>
  <c r="AK38" i="28"/>
  <c r="AK37" i="28"/>
  <c r="AK36" i="28"/>
  <c r="AK35" i="28"/>
  <c r="AK33" i="28"/>
  <c r="AK32" i="28"/>
  <c r="AK31" i="28"/>
  <c r="AK30" i="28"/>
  <c r="AK29" i="28"/>
  <c r="AK28" i="28"/>
  <c r="AK27" i="28"/>
  <c r="AK26" i="28"/>
  <c r="AK24" i="28"/>
  <c r="AK25" i="28"/>
  <c r="AK23" i="28"/>
  <c r="AK22" i="28"/>
  <c r="AK21" i="28"/>
  <c r="AK20" i="28"/>
  <c r="AK19" i="28"/>
  <c r="AK18" i="28"/>
  <c r="AK17" i="28"/>
  <c r="AK16" i="28"/>
  <c r="AK15" i="28"/>
  <c r="AK14" i="28"/>
  <c r="AK13" i="28"/>
  <c r="AK12" i="28"/>
  <c r="AK11" i="28"/>
  <c r="AK10" i="28"/>
  <c r="AK9" i="28"/>
  <c r="AK8" i="28"/>
  <c r="AK7" i="28"/>
  <c r="AK5" i="28"/>
  <c r="AK4" i="28"/>
  <c r="AL104" i="28"/>
  <c r="AL103" i="28"/>
  <c r="AL102" i="28"/>
  <c r="AL101" i="28"/>
  <c r="AL99" i="28"/>
  <c r="AL98" i="28"/>
  <c r="AL97" i="28"/>
  <c r="AL95" i="28"/>
  <c r="AL94" i="28"/>
  <c r="AL93" i="28"/>
  <c r="AL91" i="28"/>
  <c r="AL89" i="28"/>
  <c r="AL88" i="28"/>
  <c r="AL87" i="28"/>
  <c r="AL85" i="28"/>
  <c r="AL84" i="28"/>
  <c r="AL83" i="28"/>
  <c r="AL82" i="28"/>
  <c r="AL81" i="28"/>
  <c r="AL80" i="28"/>
  <c r="AL79" i="28"/>
  <c r="AL78" i="28"/>
  <c r="AL77" i="28"/>
  <c r="AL76" i="28"/>
  <c r="AL75" i="28"/>
  <c r="AL73" i="28"/>
  <c r="AL74" i="28"/>
  <c r="AL72" i="28"/>
  <c r="AL71" i="28"/>
  <c r="AL70" i="28"/>
  <c r="AL69" i="28"/>
  <c r="AL68" i="28"/>
  <c r="AL67" i="28"/>
  <c r="AL66" i="28"/>
  <c r="AL64" i="28"/>
  <c r="AL65" i="28"/>
  <c r="AL62" i="28"/>
  <c r="AL61" i="28"/>
  <c r="AL60" i="28"/>
  <c r="AL59" i="28"/>
  <c r="AL58" i="28"/>
  <c r="AL57" i="28"/>
  <c r="AL56" i="28"/>
  <c r="AL55" i="28"/>
  <c r="AL54" i="28"/>
  <c r="AL53" i="28"/>
  <c r="AL52" i="28"/>
  <c r="AL51" i="28"/>
  <c r="AL50" i="28"/>
  <c r="AL48" i="28"/>
  <c r="AL47" i="28"/>
  <c r="AL46" i="28"/>
  <c r="AL45" i="28"/>
  <c r="AL44" i="28"/>
  <c r="AL43" i="28"/>
  <c r="AL42" i="28"/>
  <c r="AL41" i="28"/>
  <c r="AL40" i="28"/>
  <c r="AL39" i="28"/>
  <c r="AL38" i="28"/>
  <c r="AL37" i="28"/>
  <c r="AL35" i="28"/>
  <c r="AL33" i="28"/>
  <c r="AL32" i="28"/>
  <c r="AL31" i="28"/>
  <c r="AL30" i="28"/>
  <c r="AL29" i="28"/>
  <c r="AL28" i="28"/>
  <c r="AL26" i="28"/>
  <c r="AL24" i="28"/>
  <c r="AL25" i="28"/>
  <c r="AL23" i="28"/>
  <c r="AL22" i="28"/>
  <c r="AL21" i="28"/>
  <c r="AL20" i="28"/>
  <c r="AL19" i="28"/>
  <c r="AL18" i="28"/>
  <c r="AL17" i="28"/>
  <c r="AL16" i="28"/>
  <c r="AL15" i="28"/>
  <c r="AL14" i="28"/>
  <c r="AL13" i="28"/>
  <c r="AL12" i="28"/>
  <c r="AL11" i="28"/>
  <c r="AL10" i="28"/>
  <c r="AL8" i="28"/>
  <c r="AL7" i="28"/>
  <c r="AL5" i="28"/>
  <c r="AJ104" i="28"/>
  <c r="AI104" i="28"/>
  <c r="AH104" i="28"/>
  <c r="AG104" i="28"/>
  <c r="AE104" i="28"/>
  <c r="AD104" i="28"/>
  <c r="AC104" i="28"/>
  <c r="AB104" i="28"/>
  <c r="AA104" i="28"/>
  <c r="Z104" i="28"/>
  <c r="Y104" i="28"/>
  <c r="X104" i="28"/>
  <c r="W104" i="28"/>
  <c r="AI103" i="28"/>
  <c r="AH103" i="28"/>
  <c r="AG103" i="28"/>
  <c r="AF103" i="28"/>
  <c r="AE103" i="28"/>
  <c r="AD103" i="28"/>
  <c r="AC103" i="28"/>
  <c r="AB103" i="28"/>
  <c r="AA103" i="28"/>
  <c r="Z103" i="28"/>
  <c r="Y103" i="28"/>
  <c r="X103" i="28"/>
  <c r="W103" i="28"/>
  <c r="AI102" i="28"/>
  <c r="AH102" i="28"/>
  <c r="AG102" i="28"/>
  <c r="AF102" i="28"/>
  <c r="AE102" i="28"/>
  <c r="AD102" i="28"/>
  <c r="AC102" i="28"/>
  <c r="AB102" i="28"/>
  <c r="AA102" i="28"/>
  <c r="Z102" i="28"/>
  <c r="Y102" i="28"/>
  <c r="X102" i="28"/>
  <c r="W102" i="28"/>
  <c r="AJ101" i="28"/>
  <c r="AH101" i="28"/>
  <c r="AG101" i="28"/>
  <c r="AF101" i="28"/>
  <c r="AE101" i="28"/>
  <c r="AD101" i="28"/>
  <c r="AC101" i="28"/>
  <c r="AB101" i="28"/>
  <c r="AA101" i="28"/>
  <c r="Z101" i="28"/>
  <c r="Y101" i="28"/>
  <c r="X101" i="28"/>
  <c r="W101" i="28"/>
  <c r="AJ100" i="28"/>
  <c r="AI100" i="28"/>
  <c r="AH100" i="28"/>
  <c r="AG100" i="28"/>
  <c r="AF100" i="28"/>
  <c r="AE100" i="28"/>
  <c r="AD100" i="28"/>
  <c r="AC100" i="28"/>
  <c r="AB100" i="28"/>
  <c r="AA100" i="28"/>
  <c r="Z100" i="28"/>
  <c r="Y100" i="28"/>
  <c r="X100" i="28"/>
  <c r="W100" i="28"/>
  <c r="AJ99" i="28"/>
  <c r="AI99" i="28"/>
  <c r="AH99" i="28"/>
  <c r="AG99" i="28"/>
  <c r="AF99" i="28"/>
  <c r="AE99" i="28"/>
  <c r="AD99" i="28"/>
  <c r="AC99" i="28"/>
  <c r="AB99" i="28"/>
  <c r="AA99" i="28"/>
  <c r="Z99" i="28"/>
  <c r="Y99" i="28"/>
  <c r="W99" i="28"/>
  <c r="AJ98" i="28"/>
  <c r="AI98" i="28"/>
  <c r="AH98" i="28"/>
  <c r="AG98" i="28"/>
  <c r="AF98" i="28"/>
  <c r="AE98" i="28"/>
  <c r="AD98" i="28"/>
  <c r="AC98" i="28"/>
  <c r="AA98" i="28"/>
  <c r="Z98" i="28"/>
  <c r="Y98" i="28"/>
  <c r="X98" i="28"/>
  <c r="W98" i="28"/>
  <c r="AJ97" i="28"/>
  <c r="AI97" i="28"/>
  <c r="AH97" i="28"/>
  <c r="AG97" i="28"/>
  <c r="AF97" i="28"/>
  <c r="AE97" i="28"/>
  <c r="AD97" i="28"/>
  <c r="AC97" i="28"/>
  <c r="AB97" i="28"/>
  <c r="AA97" i="28"/>
  <c r="Y97" i="28"/>
  <c r="X97" i="28"/>
  <c r="W97" i="28"/>
  <c r="AJ96" i="28"/>
  <c r="AI96" i="28"/>
  <c r="AH96" i="28"/>
  <c r="AG96" i="28"/>
  <c r="AF96" i="28"/>
  <c r="AE96" i="28"/>
  <c r="AD96" i="28"/>
  <c r="AC96" i="28"/>
  <c r="AB96" i="28"/>
  <c r="AA96" i="28"/>
  <c r="Z96" i="28"/>
  <c r="Y96" i="28"/>
  <c r="X96" i="28"/>
  <c r="W96" i="28"/>
  <c r="AJ95" i="28"/>
  <c r="AI95" i="28"/>
  <c r="AH95" i="28"/>
  <c r="AG95" i="28"/>
  <c r="AF95" i="28"/>
  <c r="AE95" i="28"/>
  <c r="AD95" i="28"/>
  <c r="AC95" i="28"/>
  <c r="AB95" i="28"/>
  <c r="AA95" i="28"/>
  <c r="Y95" i="28"/>
  <c r="X95" i="28"/>
  <c r="W95" i="28"/>
  <c r="AI94" i="28"/>
  <c r="AH94" i="28"/>
  <c r="AG94" i="28"/>
  <c r="AF94" i="28"/>
  <c r="AE94" i="28"/>
  <c r="AD94" i="28"/>
  <c r="AC94" i="28"/>
  <c r="AB94" i="28"/>
  <c r="AA94" i="28"/>
  <c r="Z94" i="28"/>
  <c r="Y94" i="28"/>
  <c r="X94" i="28"/>
  <c r="W94" i="28"/>
  <c r="AJ93" i="28"/>
  <c r="AI93" i="28"/>
  <c r="AG93" i="28"/>
  <c r="AF93" i="28"/>
  <c r="AE93" i="28"/>
  <c r="AD93" i="28"/>
  <c r="AC93" i="28"/>
  <c r="AB93" i="28"/>
  <c r="AA93" i="28"/>
  <c r="Z93" i="28"/>
  <c r="Y93" i="28"/>
  <c r="X93" i="28"/>
  <c r="W93" i="28"/>
  <c r="AJ92" i="28"/>
  <c r="AI92" i="28"/>
  <c r="AH92" i="28"/>
  <c r="AG92" i="28"/>
  <c r="AF92" i="28"/>
  <c r="AE92" i="28"/>
  <c r="AD92" i="28"/>
  <c r="AC92" i="28"/>
  <c r="AB92" i="28"/>
  <c r="AA92" i="28"/>
  <c r="Z92" i="28"/>
  <c r="Y92" i="28"/>
  <c r="X92" i="28"/>
  <c r="W92" i="28"/>
  <c r="AJ91" i="28"/>
  <c r="AI91" i="28"/>
  <c r="AH91" i="28"/>
  <c r="AG91" i="28"/>
  <c r="AF91" i="28"/>
  <c r="AD91" i="28"/>
  <c r="AC91" i="28"/>
  <c r="AB91" i="28"/>
  <c r="AA91" i="28"/>
  <c r="Z91" i="28"/>
  <c r="Y91" i="28"/>
  <c r="X91" i="28"/>
  <c r="W91" i="28"/>
  <c r="AJ90" i="28"/>
  <c r="AI90" i="28"/>
  <c r="AH90" i="28"/>
  <c r="AG90" i="28"/>
  <c r="AF90" i="28"/>
  <c r="AE90" i="28"/>
  <c r="AD90" i="28"/>
  <c r="AC90" i="28"/>
  <c r="AB90" i="28"/>
  <c r="AA90" i="28"/>
  <c r="Z90" i="28"/>
  <c r="Y90" i="28"/>
  <c r="X90" i="28"/>
  <c r="W90" i="28"/>
  <c r="AJ89" i="28"/>
  <c r="AH89" i="28"/>
  <c r="AG89" i="28"/>
  <c r="AF89" i="28"/>
  <c r="AE89" i="28"/>
  <c r="AD89" i="28"/>
  <c r="AC89" i="28"/>
  <c r="AB89" i="28"/>
  <c r="AA89" i="28"/>
  <c r="Z89" i="28"/>
  <c r="Y89" i="28"/>
  <c r="X89" i="28"/>
  <c r="W89" i="28"/>
  <c r="AJ88" i="28"/>
  <c r="AH88" i="28"/>
  <c r="AG88" i="28"/>
  <c r="AF88" i="28"/>
  <c r="AE88" i="28"/>
  <c r="AD88" i="28"/>
  <c r="AC88" i="28"/>
  <c r="AB88" i="28"/>
  <c r="AA88" i="28"/>
  <c r="Z88" i="28"/>
  <c r="Y88" i="28"/>
  <c r="X88" i="28"/>
  <c r="W88" i="28"/>
  <c r="AJ87" i="28"/>
  <c r="AI87" i="28"/>
  <c r="AH87" i="28"/>
  <c r="AG87" i="28"/>
  <c r="AF87" i="28"/>
  <c r="AE87" i="28"/>
  <c r="AD87" i="28"/>
  <c r="AC87" i="28"/>
  <c r="AA87" i="28"/>
  <c r="Z87" i="28"/>
  <c r="Y87" i="28"/>
  <c r="X87" i="28"/>
  <c r="W87" i="28"/>
  <c r="AJ86" i="28"/>
  <c r="AI86" i="28"/>
  <c r="AH86" i="28"/>
  <c r="AG86" i="28"/>
  <c r="AF86" i="28"/>
  <c r="AE86" i="28"/>
  <c r="AD86" i="28"/>
  <c r="AC86" i="28"/>
  <c r="AB86" i="28"/>
  <c r="AA86" i="28"/>
  <c r="Z86" i="28"/>
  <c r="Y86" i="28"/>
  <c r="X86" i="28"/>
  <c r="W86" i="28"/>
  <c r="AJ85" i="28"/>
  <c r="AI85" i="28"/>
  <c r="AH85" i="28"/>
  <c r="AG85" i="28"/>
  <c r="AF85" i="28"/>
  <c r="AE85" i="28"/>
  <c r="AD85" i="28"/>
  <c r="AC85" i="28"/>
  <c r="AB85" i="28"/>
  <c r="AA85" i="28"/>
  <c r="Z85" i="28"/>
  <c r="Y85" i="28"/>
  <c r="W85" i="28"/>
  <c r="AJ84" i="28"/>
  <c r="AI84" i="28"/>
  <c r="AH84" i="28"/>
  <c r="AG84" i="28"/>
  <c r="AF84" i="28"/>
  <c r="AE84" i="28"/>
  <c r="AC84" i="28"/>
  <c r="AB84" i="28"/>
  <c r="AA84" i="28"/>
  <c r="Z84" i="28"/>
  <c r="Y84" i="28"/>
  <c r="X84" i="28"/>
  <c r="W84" i="28"/>
  <c r="AJ83" i="28"/>
  <c r="AI83" i="28"/>
  <c r="AH83" i="28"/>
  <c r="AG83" i="28"/>
  <c r="AF83" i="28"/>
  <c r="AE83" i="28"/>
  <c r="AD83" i="28"/>
  <c r="AC83" i="28"/>
  <c r="AA83" i="28"/>
  <c r="Z83" i="28"/>
  <c r="Y83" i="28"/>
  <c r="X83" i="28"/>
  <c r="W83" i="28"/>
  <c r="AJ82" i="28"/>
  <c r="AI82" i="28"/>
  <c r="AG82" i="28"/>
  <c r="AF82" i="28"/>
  <c r="AE82" i="28"/>
  <c r="AD82" i="28"/>
  <c r="AC82" i="28"/>
  <c r="AB82" i="28"/>
  <c r="AA82" i="28"/>
  <c r="Z82" i="28"/>
  <c r="Y82" i="28"/>
  <c r="X82" i="28"/>
  <c r="W82" i="28"/>
  <c r="AJ81" i="28"/>
  <c r="AI81" i="28"/>
  <c r="AH81" i="28"/>
  <c r="AG81" i="28"/>
  <c r="AF81" i="28"/>
  <c r="AD81" i="28"/>
  <c r="AC81" i="28"/>
  <c r="AB81" i="28"/>
  <c r="AA81" i="28"/>
  <c r="Z81" i="28"/>
  <c r="Y81" i="28"/>
  <c r="X81" i="28"/>
  <c r="W81" i="28"/>
  <c r="AJ80" i="28"/>
  <c r="AI80" i="28"/>
  <c r="AH80" i="28"/>
  <c r="AG80" i="28"/>
  <c r="AF80" i="28"/>
  <c r="AE80" i="28"/>
  <c r="AD80" i="28"/>
  <c r="AC80" i="28"/>
  <c r="AB80" i="28"/>
  <c r="AA80" i="28"/>
  <c r="Z80" i="28"/>
  <c r="X80" i="28"/>
  <c r="W80" i="28"/>
  <c r="AJ79" i="28"/>
  <c r="AI79" i="28"/>
  <c r="AH79" i="28"/>
  <c r="AG79" i="28"/>
  <c r="AF79" i="28"/>
  <c r="AE79" i="28"/>
  <c r="AD79" i="28"/>
  <c r="AC79" i="28"/>
  <c r="AB79" i="28"/>
  <c r="AA79" i="28"/>
  <c r="Z79" i="28"/>
  <c r="X79" i="28"/>
  <c r="W79" i="28"/>
  <c r="AJ78" i="28"/>
  <c r="AI78" i="28"/>
  <c r="AH78" i="28"/>
  <c r="AG78" i="28"/>
  <c r="AF78" i="28"/>
  <c r="AE78" i="28"/>
  <c r="AC78" i="28"/>
  <c r="AB78" i="28"/>
  <c r="AA78" i="28"/>
  <c r="Z78" i="28"/>
  <c r="Y78" i="28"/>
  <c r="X78" i="28"/>
  <c r="W78" i="28"/>
  <c r="AJ77" i="28"/>
  <c r="AI77" i="28"/>
  <c r="AG77" i="28"/>
  <c r="AF77" i="28"/>
  <c r="AE77" i="28"/>
  <c r="AD77" i="28"/>
  <c r="AC77" i="28"/>
  <c r="AB77" i="28"/>
  <c r="AA77" i="28"/>
  <c r="Z77" i="28"/>
  <c r="Y77" i="28"/>
  <c r="X77" i="28"/>
  <c r="W77" i="28"/>
  <c r="AI76" i="28"/>
  <c r="AH76" i="28"/>
  <c r="AG76" i="28"/>
  <c r="AF76" i="28"/>
  <c r="AE76" i="28"/>
  <c r="AD76" i="28"/>
  <c r="AC76" i="28"/>
  <c r="AB76" i="28"/>
  <c r="AA76" i="28"/>
  <c r="Z76" i="28"/>
  <c r="Y76" i="28"/>
  <c r="X76" i="28"/>
  <c r="W76" i="28"/>
  <c r="AJ75" i="28"/>
  <c r="AI75" i="28"/>
  <c r="AH75" i="28"/>
  <c r="AG75" i="28"/>
  <c r="AF75" i="28"/>
  <c r="AD75" i="28"/>
  <c r="AC75" i="28"/>
  <c r="AB75" i="28"/>
  <c r="AA75" i="28"/>
  <c r="Z75" i="28"/>
  <c r="Y75" i="28"/>
  <c r="X75" i="28"/>
  <c r="W75" i="28"/>
  <c r="AJ73" i="28"/>
  <c r="AI73" i="28"/>
  <c r="AH73" i="28"/>
  <c r="AG73" i="28"/>
  <c r="AF73" i="28"/>
  <c r="AE73" i="28"/>
  <c r="AC73" i="28"/>
  <c r="AB73" i="28"/>
  <c r="AA73" i="28"/>
  <c r="Z73" i="28"/>
  <c r="Y73" i="28"/>
  <c r="X73" i="28"/>
  <c r="W73" i="28"/>
  <c r="AJ74" i="28"/>
  <c r="AI74" i="28"/>
  <c r="AG74" i="28"/>
  <c r="AF74" i="28"/>
  <c r="AE74" i="28"/>
  <c r="AD74" i="28"/>
  <c r="AC74" i="28"/>
  <c r="AB74" i="28"/>
  <c r="AA74" i="28"/>
  <c r="Z74" i="28"/>
  <c r="Y74" i="28"/>
  <c r="X74" i="28"/>
  <c r="W74" i="28"/>
  <c r="AI72" i="28"/>
  <c r="AH72" i="28"/>
  <c r="AG72" i="28"/>
  <c r="AF72" i="28"/>
  <c r="AE72" i="28"/>
  <c r="AD72" i="28"/>
  <c r="AC72" i="28"/>
  <c r="AB72" i="28"/>
  <c r="AA72" i="28"/>
  <c r="Z72" i="28"/>
  <c r="Y72" i="28"/>
  <c r="X72" i="28"/>
  <c r="W72" i="28"/>
  <c r="AJ71" i="28"/>
  <c r="AI71" i="28"/>
  <c r="AG71" i="28"/>
  <c r="AF71" i="28"/>
  <c r="AE71" i="28"/>
  <c r="AD71" i="28"/>
  <c r="AC71" i="28"/>
  <c r="AB71" i="28"/>
  <c r="AA71" i="28"/>
  <c r="Z71" i="28"/>
  <c r="Y71" i="28"/>
  <c r="X71" i="28"/>
  <c r="W71" i="28"/>
  <c r="AJ70" i="28"/>
  <c r="AI70" i="28"/>
  <c r="AH70" i="28"/>
  <c r="AG70" i="28"/>
  <c r="AF70" i="28"/>
  <c r="AE70" i="28"/>
  <c r="AC70" i="28"/>
  <c r="AB70" i="28"/>
  <c r="AA70" i="28"/>
  <c r="Z70" i="28"/>
  <c r="Y70" i="28"/>
  <c r="X70" i="28"/>
  <c r="W70" i="28"/>
  <c r="AI69" i="28"/>
  <c r="AH69" i="28"/>
  <c r="AG69" i="28"/>
  <c r="AF69" i="28"/>
  <c r="AE69" i="28"/>
  <c r="AD69" i="28"/>
  <c r="AC69" i="28"/>
  <c r="AB69" i="28"/>
  <c r="AA69" i="28"/>
  <c r="Z69" i="28"/>
  <c r="Y69" i="28"/>
  <c r="X69" i="28"/>
  <c r="W69" i="28"/>
  <c r="AJ68" i="28"/>
  <c r="AI68" i="28"/>
  <c r="AH68" i="28"/>
  <c r="AG68" i="28"/>
  <c r="AE68" i="28"/>
  <c r="AD68" i="28"/>
  <c r="AC68" i="28"/>
  <c r="AB68" i="28"/>
  <c r="AA68" i="28"/>
  <c r="Z68" i="28"/>
  <c r="Y68" i="28"/>
  <c r="X68" i="28"/>
  <c r="W68" i="28"/>
  <c r="AJ67" i="28"/>
  <c r="AI67" i="28"/>
  <c r="AH67" i="28"/>
  <c r="AG67" i="28"/>
  <c r="AF67" i="28"/>
  <c r="AE67" i="28"/>
  <c r="AD67" i="28"/>
  <c r="AC67" i="28"/>
  <c r="AB67" i="28"/>
  <c r="AA67" i="28"/>
  <c r="Y67" i="28"/>
  <c r="X67" i="28"/>
  <c r="W67" i="28"/>
  <c r="AJ66" i="28"/>
  <c r="AI66" i="28"/>
  <c r="AH66" i="28"/>
  <c r="AG66" i="28"/>
  <c r="AF66" i="28"/>
  <c r="AE66" i="28"/>
  <c r="AD66" i="28"/>
  <c r="AC66" i="28"/>
  <c r="AB66" i="28"/>
  <c r="AA66" i="28"/>
  <c r="Y66" i="28"/>
  <c r="X66" i="28"/>
  <c r="W66" i="28"/>
  <c r="AJ64" i="28"/>
  <c r="AI64" i="28"/>
  <c r="AH64" i="28"/>
  <c r="AG64" i="28"/>
  <c r="AF64" i="28"/>
  <c r="AE64" i="28"/>
  <c r="AC64" i="28"/>
  <c r="AB64" i="28"/>
  <c r="AA64" i="28"/>
  <c r="Z64" i="28"/>
  <c r="Y64" i="28"/>
  <c r="X64" i="28"/>
  <c r="W64" i="28"/>
  <c r="AJ65" i="28"/>
  <c r="AI65" i="28"/>
  <c r="AH65" i="28"/>
  <c r="AG65" i="28"/>
  <c r="AE65" i="28"/>
  <c r="AD65" i="28"/>
  <c r="AC65" i="28"/>
  <c r="AB65" i="28"/>
  <c r="AA65" i="28"/>
  <c r="Z65" i="28"/>
  <c r="Y65" i="28"/>
  <c r="X65" i="28"/>
  <c r="W65" i="28"/>
  <c r="AJ63" i="28"/>
  <c r="AI63" i="28"/>
  <c r="AH63" i="28"/>
  <c r="AG63" i="28"/>
  <c r="AF63" i="28"/>
  <c r="AE63" i="28"/>
  <c r="AD63" i="28"/>
  <c r="AC63" i="28"/>
  <c r="AB63" i="28"/>
  <c r="AA63" i="28"/>
  <c r="Z63" i="28"/>
  <c r="Y63" i="28"/>
  <c r="X63" i="28"/>
  <c r="W63" i="28"/>
  <c r="AI62" i="28"/>
  <c r="AH62" i="28"/>
  <c r="AG62" i="28"/>
  <c r="AF62" i="28"/>
  <c r="AE62" i="28"/>
  <c r="AD62" i="28"/>
  <c r="AC62" i="28"/>
  <c r="AB62" i="28"/>
  <c r="AA62" i="28"/>
  <c r="Z62" i="28"/>
  <c r="Y62" i="28"/>
  <c r="X62" i="28"/>
  <c r="W62" i="28"/>
  <c r="AJ61" i="28"/>
  <c r="AI61" i="28"/>
  <c r="AH61" i="28"/>
  <c r="AG61" i="28"/>
  <c r="AF61" i="28"/>
  <c r="AE61" i="28"/>
  <c r="AD61" i="28"/>
  <c r="AC61" i="28"/>
  <c r="AB61" i="28"/>
  <c r="AA61" i="28"/>
  <c r="Y61" i="28"/>
  <c r="X61" i="28"/>
  <c r="W61" i="28"/>
  <c r="AJ60" i="28"/>
  <c r="AI60" i="28"/>
  <c r="AH60" i="28"/>
  <c r="AG60" i="28"/>
  <c r="AF60" i="28"/>
  <c r="AE60" i="28"/>
  <c r="AD60" i="28"/>
  <c r="AC60" i="28"/>
  <c r="AA60" i="28"/>
  <c r="Z60" i="28"/>
  <c r="Y60" i="28"/>
  <c r="X60" i="28"/>
  <c r="W60" i="28"/>
  <c r="AJ59" i="28"/>
  <c r="AI59" i="28"/>
  <c r="AH59" i="28"/>
  <c r="AG59" i="28"/>
  <c r="AF59" i="28"/>
  <c r="AE59" i="28"/>
  <c r="AD59" i="28"/>
  <c r="AC59" i="28"/>
  <c r="AA59" i="28"/>
  <c r="Z59" i="28"/>
  <c r="Y59" i="28"/>
  <c r="X59" i="28"/>
  <c r="W59" i="28"/>
  <c r="AJ58" i="28"/>
  <c r="AI58" i="28"/>
  <c r="AH58" i="28"/>
  <c r="AG58" i="28"/>
  <c r="AF58" i="28"/>
  <c r="AD58" i="28"/>
  <c r="AC58" i="28"/>
  <c r="AB58" i="28"/>
  <c r="AA58" i="28"/>
  <c r="Z58" i="28"/>
  <c r="Y58" i="28"/>
  <c r="X58" i="28"/>
  <c r="W58" i="28"/>
  <c r="AI57" i="28"/>
  <c r="AH57" i="28"/>
  <c r="AG57" i="28"/>
  <c r="AF57" i="28"/>
  <c r="AE57" i="28"/>
  <c r="AD57" i="28"/>
  <c r="AC57" i="28"/>
  <c r="AB57" i="28"/>
  <c r="AA57" i="28"/>
  <c r="Z57" i="28"/>
  <c r="Y57" i="28"/>
  <c r="X57" i="28"/>
  <c r="W57" i="28"/>
  <c r="AI56" i="28"/>
  <c r="AH56" i="28"/>
  <c r="AG56" i="28"/>
  <c r="AF56" i="28"/>
  <c r="AE56" i="28"/>
  <c r="AD56" i="28"/>
  <c r="AC56" i="28"/>
  <c r="AB56" i="28"/>
  <c r="AA56" i="28"/>
  <c r="Z56" i="28"/>
  <c r="Y56" i="28"/>
  <c r="X56" i="28"/>
  <c r="W56" i="28"/>
  <c r="AJ55" i="28"/>
  <c r="AI55" i="28"/>
  <c r="AH55" i="28"/>
  <c r="AG55" i="28"/>
  <c r="AF55" i="28"/>
  <c r="AE55" i="28"/>
  <c r="AD55" i="28"/>
  <c r="AC55" i="28"/>
  <c r="AB55" i="28"/>
  <c r="AA55" i="28"/>
  <c r="Z55" i="28"/>
  <c r="Y55" i="28"/>
  <c r="W55" i="28"/>
  <c r="AJ54" i="28"/>
  <c r="AI54" i="28"/>
  <c r="AH54" i="28"/>
  <c r="AG54" i="28"/>
  <c r="AF54" i="28"/>
  <c r="AE54" i="28"/>
  <c r="AD54" i="28"/>
  <c r="AC54" i="28"/>
  <c r="AA54" i="28"/>
  <c r="Z54" i="28"/>
  <c r="Y54" i="28"/>
  <c r="X54" i="28"/>
  <c r="W54" i="28"/>
  <c r="AJ53" i="28"/>
  <c r="AI53" i="28"/>
  <c r="AH53" i="28"/>
  <c r="AG53" i="28"/>
  <c r="AF53" i="28"/>
  <c r="AD53" i="28"/>
  <c r="AC53" i="28"/>
  <c r="AB53" i="28"/>
  <c r="AA53" i="28"/>
  <c r="Z53" i="28"/>
  <c r="Y53" i="28"/>
  <c r="X53" i="28"/>
  <c r="W53" i="28"/>
  <c r="AJ52" i="28"/>
  <c r="AI52" i="28"/>
  <c r="AH52" i="28"/>
  <c r="AG52" i="28"/>
  <c r="AF52" i="28"/>
  <c r="AE52" i="28"/>
  <c r="AD52" i="28"/>
  <c r="AC52" i="28"/>
  <c r="AA52" i="28"/>
  <c r="Z52" i="28"/>
  <c r="Y52" i="28"/>
  <c r="X52" i="28"/>
  <c r="W52" i="28"/>
  <c r="AJ51" i="28"/>
  <c r="AI51" i="28"/>
  <c r="AG51" i="28"/>
  <c r="AF51" i="28"/>
  <c r="AE51" i="28"/>
  <c r="AD51" i="28"/>
  <c r="AC51" i="28"/>
  <c r="AB51" i="28"/>
  <c r="AA51" i="28"/>
  <c r="Z51" i="28"/>
  <c r="Y51" i="28"/>
  <c r="X51" i="28"/>
  <c r="W51" i="28"/>
  <c r="AJ50" i="28"/>
  <c r="AH50" i="28"/>
  <c r="AG50" i="28"/>
  <c r="AF50" i="28"/>
  <c r="AE50" i="28"/>
  <c r="AD50" i="28"/>
  <c r="AC50" i="28"/>
  <c r="AB50" i="28"/>
  <c r="AA50" i="28"/>
  <c r="Z50" i="28"/>
  <c r="Y50" i="28"/>
  <c r="X50" i="28"/>
  <c r="W50" i="28"/>
  <c r="AJ49" i="28"/>
  <c r="AI49" i="28"/>
  <c r="AH49" i="28"/>
  <c r="AG49" i="28"/>
  <c r="AF49" i="28"/>
  <c r="AE49" i="28"/>
  <c r="AD49" i="28"/>
  <c r="AC49" i="28"/>
  <c r="AB49" i="28"/>
  <c r="AA49" i="28"/>
  <c r="Z49" i="28"/>
  <c r="Y49" i="28"/>
  <c r="X49" i="28"/>
  <c r="W49" i="28"/>
  <c r="AJ48" i="28"/>
  <c r="AI48" i="28"/>
  <c r="AH48" i="28"/>
  <c r="AG48" i="28"/>
  <c r="AF48" i="28"/>
  <c r="AE48" i="28"/>
  <c r="AD48" i="28"/>
  <c r="AC48" i="28"/>
  <c r="AA48" i="28"/>
  <c r="Z48" i="28"/>
  <c r="Y48" i="28"/>
  <c r="X48" i="28"/>
  <c r="W48" i="28"/>
  <c r="AJ47" i="28"/>
  <c r="AI47" i="28"/>
  <c r="AH47" i="28"/>
  <c r="AG47" i="28"/>
  <c r="AF47" i="28"/>
  <c r="AE47" i="28"/>
  <c r="AD47" i="28"/>
  <c r="AC47" i="28"/>
  <c r="AB47" i="28"/>
  <c r="AA47" i="28"/>
  <c r="Y47" i="28"/>
  <c r="X47" i="28"/>
  <c r="W47" i="28"/>
  <c r="AJ46" i="28"/>
  <c r="AI46" i="28"/>
  <c r="AH46" i="28"/>
  <c r="AG46" i="28"/>
  <c r="AF46" i="28"/>
  <c r="AD46" i="28"/>
  <c r="AC46" i="28"/>
  <c r="AB46" i="28"/>
  <c r="AA46" i="28"/>
  <c r="Z46" i="28"/>
  <c r="Y46" i="28"/>
  <c r="X46" i="28"/>
  <c r="W46" i="28"/>
  <c r="AJ45" i="28"/>
  <c r="AI45" i="28"/>
  <c r="AH45" i="28"/>
  <c r="AG45" i="28"/>
  <c r="AF45" i="28"/>
  <c r="AE45" i="28"/>
  <c r="AD45" i="28"/>
  <c r="AC45" i="28"/>
  <c r="AB45" i="28"/>
  <c r="AA45" i="28"/>
  <c r="Z45" i="28"/>
  <c r="Y45" i="28"/>
  <c r="W45" i="28"/>
  <c r="AJ44" i="28"/>
  <c r="AI44" i="28"/>
  <c r="AG44" i="28"/>
  <c r="AF44" i="28"/>
  <c r="AE44" i="28"/>
  <c r="AD44" i="28"/>
  <c r="AC44" i="28"/>
  <c r="AB44" i="28"/>
  <c r="AA44" i="28"/>
  <c r="Z44" i="28"/>
  <c r="Y44" i="28"/>
  <c r="X44" i="28"/>
  <c r="W44" i="28"/>
  <c r="AJ43" i="28"/>
  <c r="AI43" i="28"/>
  <c r="AG43" i="28"/>
  <c r="AF43" i="28"/>
  <c r="AE43" i="28"/>
  <c r="AD43" i="28"/>
  <c r="AC43" i="28"/>
  <c r="AB43" i="28"/>
  <c r="AA43" i="28"/>
  <c r="Z43" i="28"/>
  <c r="Y43" i="28"/>
  <c r="X43" i="28"/>
  <c r="W43" i="28"/>
  <c r="AJ42" i="28"/>
  <c r="AI42" i="28"/>
  <c r="AH42" i="28"/>
  <c r="AG42" i="28"/>
  <c r="AF42" i="28"/>
  <c r="AE42" i="28"/>
  <c r="AD42" i="28"/>
  <c r="AC42" i="28"/>
  <c r="AA42" i="28"/>
  <c r="Z42" i="28"/>
  <c r="Y42" i="28"/>
  <c r="X42" i="28"/>
  <c r="W42" i="28"/>
  <c r="AI41" i="28"/>
  <c r="AH41" i="28"/>
  <c r="AG41" i="28"/>
  <c r="AF41" i="28"/>
  <c r="AE41" i="28"/>
  <c r="AD41" i="28"/>
  <c r="AC41" i="28"/>
  <c r="AB41" i="28"/>
  <c r="AA41" i="28"/>
  <c r="Z41" i="28"/>
  <c r="Y41" i="28"/>
  <c r="X41" i="28"/>
  <c r="W41" i="28"/>
  <c r="AJ40" i="28"/>
  <c r="AI40" i="28"/>
  <c r="AG40" i="28"/>
  <c r="AF40" i="28"/>
  <c r="AE40" i="28"/>
  <c r="AD40" i="28"/>
  <c r="AC40" i="28"/>
  <c r="AB40" i="28"/>
  <c r="AA40" i="28"/>
  <c r="Z40" i="28"/>
  <c r="Y40" i="28"/>
  <c r="X40" i="28"/>
  <c r="W40" i="28"/>
  <c r="AJ39" i="28"/>
  <c r="AI39" i="28"/>
  <c r="AH39" i="28"/>
  <c r="AG39" i="28"/>
  <c r="AF39" i="28"/>
  <c r="AE39" i="28"/>
  <c r="AD39" i="28"/>
  <c r="AC39" i="28"/>
  <c r="AA39" i="28"/>
  <c r="Z39" i="28"/>
  <c r="Y39" i="28"/>
  <c r="X39" i="28"/>
  <c r="W39" i="28"/>
  <c r="AJ38" i="28"/>
  <c r="AI38" i="28"/>
  <c r="AH38" i="28"/>
  <c r="AG38" i="28"/>
  <c r="AF38" i="28"/>
  <c r="AE38" i="28"/>
  <c r="AD38" i="28"/>
  <c r="AC38" i="28"/>
  <c r="AB38" i="28"/>
  <c r="AA38" i="28"/>
  <c r="Z38" i="28"/>
  <c r="Y38" i="28"/>
  <c r="W38" i="28"/>
  <c r="AJ37" i="28"/>
  <c r="AI37" i="28"/>
  <c r="AH37" i="28"/>
  <c r="AG37" i="28"/>
  <c r="AF37" i="28"/>
  <c r="AE37" i="28"/>
  <c r="AC37" i="28"/>
  <c r="AB37" i="28"/>
  <c r="AA37" i="28"/>
  <c r="Z37" i="28"/>
  <c r="Y37" i="28"/>
  <c r="X37" i="28"/>
  <c r="W37" i="28"/>
  <c r="AJ36" i="28"/>
  <c r="AI36" i="28"/>
  <c r="AH36" i="28"/>
  <c r="AG36" i="28"/>
  <c r="AF36" i="28"/>
  <c r="AE36" i="28"/>
  <c r="AD36" i="28"/>
  <c r="AC36" i="28"/>
  <c r="AB36" i="28"/>
  <c r="AA36" i="28"/>
  <c r="Z36" i="28"/>
  <c r="Y36" i="28"/>
  <c r="X36" i="28"/>
  <c r="W36" i="28"/>
  <c r="AJ35" i="28"/>
  <c r="AI35" i="28"/>
  <c r="AH35" i="28"/>
  <c r="AG35" i="28"/>
  <c r="AF35" i="28"/>
  <c r="AD35" i="28"/>
  <c r="AC35" i="28"/>
  <c r="AB35" i="28"/>
  <c r="AA35" i="28"/>
  <c r="Z35" i="28"/>
  <c r="Y35" i="28"/>
  <c r="X35" i="28"/>
  <c r="W35" i="28"/>
  <c r="AJ34" i="28"/>
  <c r="AI34" i="28"/>
  <c r="AH34" i="28"/>
  <c r="AG34" i="28"/>
  <c r="AF34" i="28"/>
  <c r="AE34" i="28"/>
  <c r="AD34" i="28"/>
  <c r="AC34" i="28"/>
  <c r="AB34" i="28"/>
  <c r="AA34" i="28"/>
  <c r="Z34" i="28"/>
  <c r="Y34" i="28"/>
  <c r="X34" i="28"/>
  <c r="W34" i="28"/>
  <c r="AI33" i="28"/>
  <c r="AH33" i="28"/>
  <c r="AG33" i="28"/>
  <c r="AF33" i="28"/>
  <c r="AE33" i="28"/>
  <c r="AD33" i="28"/>
  <c r="AC33" i="28"/>
  <c r="AB33" i="28"/>
  <c r="AA33" i="28"/>
  <c r="Z33" i="28"/>
  <c r="Y33" i="28"/>
  <c r="X33" i="28"/>
  <c r="W33" i="28"/>
  <c r="AJ32" i="28"/>
  <c r="AI32" i="28"/>
  <c r="AH32" i="28"/>
  <c r="AG32" i="28"/>
  <c r="AF32" i="28"/>
  <c r="AE32" i="28"/>
  <c r="AC32" i="28"/>
  <c r="AB32" i="28"/>
  <c r="AA32" i="28"/>
  <c r="Z32" i="28"/>
  <c r="Y32" i="28"/>
  <c r="X32" i="28"/>
  <c r="W32" i="28"/>
  <c r="AJ31" i="28"/>
  <c r="AI31" i="28"/>
  <c r="AH31" i="28"/>
  <c r="AG31" i="28"/>
  <c r="AF31" i="28"/>
  <c r="AD31" i="28"/>
  <c r="AC31" i="28"/>
  <c r="AB31" i="28"/>
  <c r="AA31" i="28"/>
  <c r="Z31" i="28"/>
  <c r="Y31" i="28"/>
  <c r="X31" i="28"/>
  <c r="W31" i="28"/>
  <c r="AJ30" i="28"/>
  <c r="AH30" i="28"/>
  <c r="AG30" i="28"/>
  <c r="AF30" i="28"/>
  <c r="AE30" i="28"/>
  <c r="AD30" i="28"/>
  <c r="AC30" i="28"/>
  <c r="AB30" i="28"/>
  <c r="AA30" i="28"/>
  <c r="Z30" i="28"/>
  <c r="Y30" i="28"/>
  <c r="X30" i="28"/>
  <c r="W30" i="28"/>
  <c r="AJ29" i="28"/>
  <c r="AI29" i="28"/>
  <c r="AH29" i="28"/>
  <c r="AG29" i="28"/>
  <c r="AE29" i="28"/>
  <c r="AD29" i="28"/>
  <c r="AC29" i="28"/>
  <c r="AB29" i="28"/>
  <c r="AA29" i="28"/>
  <c r="Z29" i="28"/>
  <c r="Y29" i="28"/>
  <c r="X29" i="28"/>
  <c r="W29" i="28"/>
  <c r="AJ28" i="28"/>
  <c r="AI28" i="28"/>
  <c r="AH28" i="28"/>
  <c r="AG28" i="28"/>
  <c r="AE28" i="28"/>
  <c r="AD28" i="28"/>
  <c r="AC28" i="28"/>
  <c r="AB28" i="28"/>
  <c r="AA28" i="28"/>
  <c r="Z28" i="28"/>
  <c r="Y28" i="28"/>
  <c r="X28" i="28"/>
  <c r="W28" i="28"/>
  <c r="AJ27" i="28"/>
  <c r="AI27" i="28"/>
  <c r="AH27" i="28"/>
  <c r="AG27" i="28"/>
  <c r="AF27" i="28"/>
  <c r="AE27" i="28"/>
  <c r="AD27" i="28"/>
  <c r="AC27" i="28"/>
  <c r="AB27" i="28"/>
  <c r="AA27" i="28"/>
  <c r="Z27" i="28"/>
  <c r="Y27" i="28"/>
  <c r="X27" i="28"/>
  <c r="W27" i="28"/>
  <c r="AJ26" i="28"/>
  <c r="AI26" i="28"/>
  <c r="AH26" i="28"/>
  <c r="AG26" i="28"/>
  <c r="AE26" i="28"/>
  <c r="AD26" i="28"/>
  <c r="AC26" i="28"/>
  <c r="AB26" i="28"/>
  <c r="AA26" i="28"/>
  <c r="Z26" i="28"/>
  <c r="Y26" i="28"/>
  <c r="X26" i="28"/>
  <c r="W26" i="28"/>
  <c r="AJ24" i="28"/>
  <c r="AI24" i="28"/>
  <c r="AH24" i="28"/>
  <c r="AG24" i="28"/>
  <c r="AF24" i="28"/>
  <c r="AE24" i="28"/>
  <c r="AD24" i="28"/>
  <c r="AC24" i="28"/>
  <c r="AB24" i="28"/>
  <c r="AA24" i="28"/>
  <c r="Z24" i="28"/>
  <c r="Y24" i="28"/>
  <c r="W24" i="28"/>
  <c r="AJ25" i="28"/>
  <c r="AI25" i="28"/>
  <c r="AH25" i="28"/>
  <c r="AG25" i="28"/>
  <c r="AF25" i="28"/>
  <c r="AE25" i="28"/>
  <c r="AC25" i="28"/>
  <c r="AB25" i="28"/>
  <c r="AA25" i="28"/>
  <c r="Z25" i="28"/>
  <c r="Y25" i="28"/>
  <c r="X25" i="28"/>
  <c r="W25" i="28"/>
  <c r="AJ23" i="28"/>
  <c r="AI23" i="28"/>
  <c r="AH23" i="28"/>
  <c r="AG23" i="28"/>
  <c r="AF23" i="28"/>
  <c r="AE23" i="28"/>
  <c r="AD23" i="28"/>
  <c r="AC23" i="28"/>
  <c r="AA23" i="28"/>
  <c r="Z23" i="28"/>
  <c r="Y23" i="28"/>
  <c r="X23" i="28"/>
  <c r="W23" i="28"/>
  <c r="AJ22" i="28"/>
  <c r="AI22" i="28"/>
  <c r="AG22" i="28"/>
  <c r="AF22" i="28"/>
  <c r="AE22" i="28"/>
  <c r="AD22" i="28"/>
  <c r="AC22" i="28"/>
  <c r="AB22" i="28"/>
  <c r="AA22" i="28"/>
  <c r="Z22" i="28"/>
  <c r="Y22" i="28"/>
  <c r="X22" i="28"/>
  <c r="W22" i="28"/>
  <c r="AJ21" i="28"/>
  <c r="AI21" i="28"/>
  <c r="AH21" i="28"/>
  <c r="AG21" i="28"/>
  <c r="AF21" i="28"/>
  <c r="AE21" i="28"/>
  <c r="AD21" i="28"/>
  <c r="AC21" i="28"/>
  <c r="AB21" i="28"/>
  <c r="AA21" i="28"/>
  <c r="Z21" i="28"/>
  <c r="Y21" i="28"/>
  <c r="W21" i="28"/>
  <c r="AJ20" i="28"/>
  <c r="AI20" i="28"/>
  <c r="AG20" i="28"/>
  <c r="AF20" i="28"/>
  <c r="AE20" i="28"/>
  <c r="AD20" i="28"/>
  <c r="AC20" i="28"/>
  <c r="AB20" i="28"/>
  <c r="AA20" i="28"/>
  <c r="Z20" i="28"/>
  <c r="Y20" i="28"/>
  <c r="X20" i="28"/>
  <c r="W20" i="28"/>
  <c r="AJ19" i="28"/>
  <c r="AI19" i="28"/>
  <c r="AH19" i="28"/>
  <c r="AG19" i="28"/>
  <c r="AE19" i="28"/>
  <c r="AD19" i="28"/>
  <c r="AC19" i="28"/>
  <c r="AB19" i="28"/>
  <c r="AA19" i="28"/>
  <c r="Z19" i="28"/>
  <c r="Y19" i="28"/>
  <c r="X19" i="28"/>
  <c r="W19" i="28"/>
  <c r="AJ18" i="28"/>
  <c r="AI18" i="28"/>
  <c r="AH18" i="28"/>
  <c r="AG18" i="28"/>
  <c r="AF18" i="28"/>
  <c r="AE18" i="28"/>
  <c r="AC18" i="28"/>
  <c r="AB18" i="28"/>
  <c r="AA18" i="28"/>
  <c r="Z18" i="28"/>
  <c r="Y18" i="28"/>
  <c r="X18" i="28"/>
  <c r="W18" i="28"/>
  <c r="AJ17" i="28"/>
  <c r="AI17" i="28"/>
  <c r="AH17" i="28"/>
  <c r="AG17" i="28"/>
  <c r="AF17" i="28"/>
  <c r="AE17" i="28"/>
  <c r="AD17" i="28"/>
  <c r="AC17" i="28"/>
  <c r="AB17" i="28"/>
  <c r="AA17" i="28"/>
  <c r="Z17" i="28"/>
  <c r="X17" i="28"/>
  <c r="W17" i="28"/>
  <c r="AJ16" i="28"/>
  <c r="AH16" i="28"/>
  <c r="AG16" i="28"/>
  <c r="AF16" i="28"/>
  <c r="AE16" i="28"/>
  <c r="AD16" i="28"/>
  <c r="AC16" i="28"/>
  <c r="AB16" i="28"/>
  <c r="AA16" i="28"/>
  <c r="Z16" i="28"/>
  <c r="Y16" i="28"/>
  <c r="X16" i="28"/>
  <c r="W16" i="28"/>
  <c r="AJ15" i="28"/>
  <c r="AI15" i="28"/>
  <c r="AH15" i="28"/>
  <c r="AG15" i="28"/>
  <c r="AF15" i="28"/>
  <c r="AE15" i="28"/>
  <c r="AC15" i="28"/>
  <c r="AB15" i="28"/>
  <c r="AA15" i="28"/>
  <c r="Z15" i="28"/>
  <c r="Y15" i="28"/>
  <c r="X15" i="28"/>
  <c r="W15" i="28"/>
  <c r="AJ14" i="28"/>
  <c r="AH14" i="28"/>
  <c r="AG14" i="28"/>
  <c r="AF14" i="28"/>
  <c r="AE14" i="28"/>
  <c r="AD14" i="28"/>
  <c r="AC14" i="28"/>
  <c r="AB14" i="28"/>
  <c r="AA14" i="28"/>
  <c r="Z14" i="28"/>
  <c r="Y14" i="28"/>
  <c r="X14" i="28"/>
  <c r="W14" i="28"/>
  <c r="AJ13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AJ12" i="28"/>
  <c r="AI12" i="28"/>
  <c r="AH12" i="28"/>
  <c r="AG12" i="28"/>
  <c r="AE12" i="28"/>
  <c r="AD12" i="28"/>
  <c r="AC12" i="28"/>
  <c r="AB12" i="28"/>
  <c r="AA12" i="28"/>
  <c r="Z12" i="28"/>
  <c r="Y12" i="28"/>
  <c r="X12" i="28"/>
  <c r="W12" i="28"/>
  <c r="AJ11" i="28"/>
  <c r="AI11" i="28"/>
  <c r="AH11" i="28"/>
  <c r="AG11" i="28"/>
  <c r="AF11" i="28"/>
  <c r="AE11" i="28"/>
  <c r="AD11" i="28"/>
  <c r="AC11" i="28"/>
  <c r="AA11" i="28"/>
  <c r="Z11" i="28"/>
  <c r="Y11" i="28"/>
  <c r="X11" i="28"/>
  <c r="W11" i="28"/>
  <c r="AJ10" i="28"/>
  <c r="AI10" i="28"/>
  <c r="AH10" i="28"/>
  <c r="AG10" i="28"/>
  <c r="AE10" i="28"/>
  <c r="AD10" i="28"/>
  <c r="AC10" i="28"/>
  <c r="AB10" i="28"/>
  <c r="AA10" i="28"/>
  <c r="Z10" i="28"/>
  <c r="Y10" i="28"/>
  <c r="X10" i="28"/>
  <c r="W10" i="28"/>
  <c r="AJ9" i="28"/>
  <c r="AI9" i="28"/>
  <c r="AH9" i="28"/>
  <c r="AG9" i="28"/>
  <c r="AF9" i="28"/>
  <c r="AE9" i="28"/>
  <c r="AD9" i="28"/>
  <c r="AC9" i="28"/>
  <c r="AB9" i="28"/>
  <c r="AA9" i="28"/>
  <c r="Z9" i="28"/>
  <c r="Y9" i="28"/>
  <c r="X9" i="28"/>
  <c r="W9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AJ6" i="28"/>
  <c r="AI6" i="28"/>
  <c r="AH6" i="28"/>
  <c r="AG6" i="28"/>
  <c r="AF6" i="28"/>
  <c r="AE6" i="28"/>
  <c r="AD6" i="28"/>
  <c r="AC6" i="28"/>
  <c r="AB6" i="28"/>
  <c r="AA6" i="28"/>
  <c r="Z6" i="28"/>
  <c r="Y6" i="28"/>
  <c r="X6" i="28"/>
  <c r="W6" i="28"/>
  <c r="AJ5" i="28"/>
  <c r="AI5" i="28"/>
  <c r="AH5" i="28"/>
  <c r="AG5" i="28"/>
  <c r="AF5" i="28"/>
  <c r="AE5" i="28"/>
  <c r="AD5" i="28"/>
  <c r="AC5" i="28"/>
  <c r="AB5" i="28"/>
  <c r="AA5" i="28"/>
  <c r="Z5" i="28"/>
  <c r="X5" i="28"/>
  <c r="W5" i="28"/>
  <c r="AL4" i="28"/>
  <c r="AJ4" i="28"/>
  <c r="AI4" i="28"/>
  <c r="AH4" i="28"/>
  <c r="AG4" i="28"/>
  <c r="AF4" i="28"/>
  <c r="AE4" i="28"/>
  <c r="AD4" i="28"/>
  <c r="AC4" i="28"/>
  <c r="AB4" i="28"/>
  <c r="AA4" i="28"/>
  <c r="Y4" i="28"/>
  <c r="W4" i="28"/>
  <c r="T31" i="28"/>
  <c r="T32" i="28"/>
  <c r="T11" i="28"/>
  <c r="T104" i="28"/>
  <c r="T103" i="28"/>
  <c r="T102" i="28"/>
  <c r="T101" i="28"/>
  <c r="T99" i="28"/>
  <c r="T98" i="28"/>
  <c r="T97" i="28"/>
  <c r="T96" i="28"/>
  <c r="T94" i="28"/>
  <c r="T40" i="28"/>
  <c r="T82" i="28"/>
  <c r="T93" i="28"/>
  <c r="T92" i="28"/>
  <c r="T91" i="28"/>
  <c r="T90" i="28"/>
  <c r="T89" i="28"/>
  <c r="T88" i="28"/>
  <c r="T87" i="28"/>
  <c r="T86" i="28"/>
  <c r="T85" i="28"/>
  <c r="T84" i="28"/>
  <c r="T83" i="28"/>
  <c r="T81" i="28"/>
  <c r="T80" i="28"/>
  <c r="T79" i="28"/>
  <c r="T78" i="28"/>
  <c r="T77" i="28"/>
  <c r="T75" i="28"/>
  <c r="T73" i="28"/>
  <c r="T74" i="28"/>
  <c r="T72" i="28"/>
  <c r="T71" i="28"/>
  <c r="T70" i="28"/>
  <c r="T69" i="28"/>
  <c r="T68" i="28"/>
  <c r="T67" i="28"/>
  <c r="T66" i="28"/>
  <c r="T64" i="28"/>
  <c r="T65" i="28"/>
  <c r="T63" i="28"/>
  <c r="T62" i="28"/>
  <c r="T61" i="28"/>
  <c r="T60" i="28"/>
  <c r="T59" i="28"/>
  <c r="T58" i="28"/>
  <c r="T57" i="28"/>
  <c r="T56" i="28"/>
  <c r="T54" i="28"/>
  <c r="T53" i="28"/>
  <c r="T52" i="28"/>
  <c r="T51" i="28"/>
  <c r="T50" i="28"/>
  <c r="T49" i="28"/>
  <c r="T48" i="28"/>
  <c r="T47" i="28"/>
  <c r="T46" i="28"/>
  <c r="T45" i="28"/>
  <c r="T44" i="28"/>
  <c r="T43" i="28"/>
  <c r="T42" i="28"/>
  <c r="T39" i="28"/>
  <c r="T38" i="28"/>
  <c r="T37" i="28"/>
  <c r="T36" i="28"/>
  <c r="T35" i="28"/>
  <c r="T34" i="28"/>
  <c r="T33" i="28"/>
  <c r="T30" i="28"/>
  <c r="T29" i="28"/>
  <c r="T28" i="28"/>
  <c r="T27" i="28"/>
  <c r="T26" i="28"/>
  <c r="T24" i="28"/>
  <c r="T25" i="28"/>
  <c r="T23" i="28"/>
  <c r="T22" i="28"/>
  <c r="T21" i="28"/>
  <c r="T20" i="28"/>
  <c r="T19" i="28"/>
  <c r="T18" i="28"/>
  <c r="T17" i="28"/>
  <c r="T16" i="28"/>
  <c r="T15" i="28"/>
  <c r="T14" i="28"/>
  <c r="T13" i="28"/>
  <c r="T12" i="28"/>
  <c r="T10" i="28"/>
  <c r="T9" i="28"/>
  <c r="T7" i="28"/>
  <c r="T6" i="28"/>
  <c r="T5" i="28"/>
  <c r="T4" i="28"/>
  <c r="S104" i="28"/>
  <c r="S103" i="28"/>
  <c r="S102" i="28"/>
  <c r="S101" i="28"/>
  <c r="S100" i="28"/>
  <c r="AL100" i="28" s="1"/>
  <c r="S99" i="28"/>
  <c r="S98" i="28"/>
  <c r="S97" i="28"/>
  <c r="S96" i="28"/>
  <c r="S95" i="28"/>
  <c r="Z95" i="28" s="1"/>
  <c r="S94" i="28"/>
  <c r="S93" i="28"/>
  <c r="S92" i="28"/>
  <c r="S91" i="28"/>
  <c r="S90" i="28"/>
  <c r="S89" i="28"/>
  <c r="S88" i="28"/>
  <c r="S87" i="28"/>
  <c r="S86" i="28"/>
  <c r="S85" i="28"/>
  <c r="S84" i="28"/>
  <c r="S83" i="28"/>
  <c r="S82" i="28"/>
  <c r="AH82" i="28" s="1"/>
  <c r="S81" i="28"/>
  <c r="S80" i="28"/>
  <c r="S79" i="28"/>
  <c r="S78" i="28"/>
  <c r="S77" i="28"/>
  <c r="S76" i="28"/>
  <c r="AJ76" i="28" s="1"/>
  <c r="S75" i="28"/>
  <c r="S73" i="28"/>
  <c r="S74" i="28"/>
  <c r="S72" i="28"/>
  <c r="S71" i="28"/>
  <c r="S68" i="28"/>
  <c r="S67" i="28"/>
  <c r="S66" i="28"/>
  <c r="S64" i="28"/>
  <c r="AD64" i="28" s="1"/>
  <c r="S65" i="28"/>
  <c r="S63" i="28"/>
  <c r="S62" i="28"/>
  <c r="S61" i="28"/>
  <c r="S60" i="28"/>
  <c r="S59" i="28"/>
  <c r="S58" i="28"/>
  <c r="S57" i="28"/>
  <c r="AJ57" i="28" s="1"/>
  <c r="S56" i="28"/>
  <c r="S55" i="28"/>
  <c r="X55" i="28" s="1"/>
  <c r="S54" i="28"/>
  <c r="S53" i="28"/>
  <c r="S52" i="28"/>
  <c r="S51" i="28"/>
  <c r="S50" i="28"/>
  <c r="S49" i="28"/>
  <c r="S48" i="28"/>
  <c r="S47" i="28"/>
  <c r="S46" i="28"/>
  <c r="S45" i="28"/>
  <c r="S44" i="28"/>
  <c r="S43" i="28"/>
  <c r="S42" i="28"/>
  <c r="S41" i="28"/>
  <c r="AJ41" i="28" s="1"/>
  <c r="S40" i="28"/>
  <c r="S39" i="28"/>
  <c r="S38" i="28"/>
  <c r="S36" i="28"/>
  <c r="S35" i="28"/>
  <c r="S34" i="28"/>
  <c r="S33" i="28"/>
  <c r="S32" i="28"/>
  <c r="S30" i="28"/>
  <c r="S29" i="28"/>
  <c r="S28" i="28"/>
  <c r="S27" i="28"/>
  <c r="S26" i="28"/>
  <c r="S24" i="28"/>
  <c r="S25" i="28"/>
  <c r="S23" i="28"/>
  <c r="S22" i="28"/>
  <c r="S21" i="28"/>
  <c r="S20" i="28"/>
  <c r="S19" i="28"/>
  <c r="S18" i="28"/>
  <c r="S17" i="28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I108" i="28"/>
  <c r="I70" i="28"/>
  <c r="T105" i="28" l="1"/>
  <c r="AC2" i="28"/>
  <c r="AM55" i="28"/>
  <c r="AO55" i="28" s="1"/>
  <c r="AM66" i="28"/>
  <c r="AO66" i="28" s="1"/>
  <c r="AM82" i="28"/>
  <c r="AO82" i="28" s="1"/>
  <c r="S70" i="28"/>
  <c r="U70" i="28"/>
  <c r="AN70" i="28" s="1"/>
  <c r="R70" i="28"/>
  <c r="AM41" i="28"/>
  <c r="AO41" i="28" s="1"/>
  <c r="AM49" i="28"/>
  <c r="AO49" i="28" s="1"/>
  <c r="AM57" i="28"/>
  <c r="AO57" i="28" s="1"/>
  <c r="AM76" i="28"/>
  <c r="AO76" i="28" s="1"/>
  <c r="AM93" i="28"/>
  <c r="AO93" i="28" s="1"/>
  <c r="W2" i="28"/>
  <c r="AG2" i="28"/>
  <c r="AM64" i="28"/>
  <c r="AO64" i="28" s="1"/>
  <c r="AM70" i="28"/>
  <c r="AO70" i="28" s="1"/>
  <c r="AM95" i="28"/>
  <c r="AO95" i="28" s="1"/>
  <c r="AM101" i="28"/>
  <c r="AO101" i="28" s="1"/>
  <c r="AA2" i="28"/>
  <c r="AH43" i="28"/>
  <c r="AH51" i="28"/>
  <c r="AM51" i="28" s="1"/>
  <c r="AO51" i="28" s="1"/>
  <c r="AH77" i="28"/>
  <c r="AM77" i="28" s="1"/>
  <c r="AO77" i="28" s="1"/>
  <c r="AB60" i="28"/>
  <c r="AM60" i="28" s="1"/>
  <c r="AO60" i="28" s="1"/>
  <c r="AF68" i="28"/>
  <c r="AM68" i="28" s="1"/>
  <c r="AO68" i="28" s="1"/>
  <c r="AL86" i="28"/>
  <c r="AJ102" i="28"/>
  <c r="AM102" i="28" s="1"/>
  <c r="AO102" i="28" s="1"/>
  <c r="AH74" i="28"/>
  <c r="AM74" i="28" s="1"/>
  <c r="AO74" i="28" s="1"/>
  <c r="AB98" i="28"/>
  <c r="AM98" i="28" s="1"/>
  <c r="AO98" i="28" s="1"/>
  <c r="AH71" i="28"/>
  <c r="AM71" i="28" s="1"/>
  <c r="AO71" i="28" s="1"/>
  <c r="AE46" i="28"/>
  <c r="AM46" i="28" s="1"/>
  <c r="AO46" i="28" s="1"/>
  <c r="AB54" i="28"/>
  <c r="AM54" i="28" s="1"/>
  <c r="AO54" i="28" s="1"/>
  <c r="Y80" i="28"/>
  <c r="AM80" i="28" s="1"/>
  <c r="AO80" i="28" s="1"/>
  <c r="AL96" i="28"/>
  <c r="AM96" i="28" s="1"/>
  <c r="AO96" i="28" s="1"/>
  <c r="AL63" i="28"/>
  <c r="AM63" i="28" s="1"/>
  <c r="AO63" i="28" s="1"/>
  <c r="AI89" i="28"/>
  <c r="AM89" i="28" s="1"/>
  <c r="AO89" i="28" s="1"/>
  <c r="AK100" i="28"/>
  <c r="AM100" i="28" s="1"/>
  <c r="AO100" i="28" s="1"/>
  <c r="Z47" i="28"/>
  <c r="AM47" i="28" s="1"/>
  <c r="AO47" i="28" s="1"/>
  <c r="AJ56" i="28"/>
  <c r="AM56" i="28" s="1"/>
  <c r="AO56" i="28" s="1"/>
  <c r="AF65" i="28"/>
  <c r="AM65" i="28" s="1"/>
  <c r="AO65" i="28" s="1"/>
  <c r="AL90" i="28"/>
  <c r="AM90" i="28" s="1"/>
  <c r="AO90" i="28" s="1"/>
  <c r="AJ72" i="28"/>
  <c r="AM72" i="28" s="1"/>
  <c r="AO72" i="28" s="1"/>
  <c r="X99" i="28"/>
  <c r="AM99" i="28" s="1"/>
  <c r="AO99" i="28" s="1"/>
  <c r="Z97" i="28"/>
  <c r="AM97" i="28" s="1"/>
  <c r="AO97" i="28" s="1"/>
  <c r="AE81" i="28"/>
  <c r="AM81" i="28" s="1"/>
  <c r="AO81" i="28" s="1"/>
  <c r="AB42" i="28"/>
  <c r="AM42" i="28" s="1"/>
  <c r="AO42" i="28" s="1"/>
  <c r="AI50" i="28"/>
  <c r="AM50" i="28" s="1"/>
  <c r="AO50" i="28" s="1"/>
  <c r="AB59" i="28"/>
  <c r="AM59" i="28" s="1"/>
  <c r="AO59" i="28" s="1"/>
  <c r="Z67" i="28"/>
  <c r="AM67" i="28" s="1"/>
  <c r="AO67" i="28" s="1"/>
  <c r="X85" i="28"/>
  <c r="AM85" i="28" s="1"/>
  <c r="AO85" i="28" s="1"/>
  <c r="AH93" i="28"/>
  <c r="AI101" i="28"/>
  <c r="AE75" i="28"/>
  <c r="AM75" i="28" s="1"/>
  <c r="AO75" i="28" s="1"/>
  <c r="AD70" i="28"/>
  <c r="AH44" i="28"/>
  <c r="AM44" i="28" s="1"/>
  <c r="AO44" i="28" s="1"/>
  <c r="AB52" i="28"/>
  <c r="AM52" i="28" s="1"/>
  <c r="AO52" i="28" s="1"/>
  <c r="AD78" i="28"/>
  <c r="AM78" i="28" s="1"/>
  <c r="AO78" i="28" s="1"/>
  <c r="AJ94" i="28"/>
  <c r="AM94" i="28" s="1"/>
  <c r="AO94" i="28" s="1"/>
  <c r="AJ103" i="28"/>
  <c r="AM103" i="28" s="1"/>
  <c r="AO103" i="28" s="1"/>
  <c r="AJ62" i="28"/>
  <c r="AM62" i="28" s="1"/>
  <c r="AO62" i="28" s="1"/>
  <c r="AI88" i="28"/>
  <c r="AM88" i="28" s="1"/>
  <c r="AO88" i="28" s="1"/>
  <c r="AF104" i="28"/>
  <c r="AM104" i="28" s="1"/>
  <c r="AO104" i="28" s="1"/>
  <c r="AD84" i="28"/>
  <c r="AM84" i="28" s="1"/>
  <c r="AO84" i="28" s="1"/>
  <c r="AL92" i="28"/>
  <c r="AM92" i="28" s="1"/>
  <c r="AO92" i="28" s="1"/>
  <c r="X45" i="28"/>
  <c r="AM45" i="28" s="1"/>
  <c r="AO45" i="28" s="1"/>
  <c r="Z61" i="28"/>
  <c r="AM61" i="28" s="1"/>
  <c r="AO61" i="28" s="1"/>
  <c r="AB87" i="28"/>
  <c r="AM87" i="28" s="1"/>
  <c r="AO87" i="28" s="1"/>
  <c r="AE53" i="28"/>
  <c r="AM53" i="28" s="1"/>
  <c r="AO53" i="28" s="1"/>
  <c r="Y79" i="28"/>
  <c r="AM79" i="28" s="1"/>
  <c r="AO79" i="28" s="1"/>
  <c r="AD73" i="28"/>
  <c r="AM73" i="28" s="1"/>
  <c r="AO73" i="28" s="1"/>
  <c r="AL49" i="28"/>
  <c r="AE58" i="28"/>
  <c r="AM58" i="28" s="1"/>
  <c r="AO58" i="28" s="1"/>
  <c r="Z66" i="28"/>
  <c r="AB48" i="28"/>
  <c r="AM48" i="28" s="1"/>
  <c r="AO48" i="28" s="1"/>
  <c r="AB83" i="28"/>
  <c r="AM83" i="28" s="1"/>
  <c r="AO83" i="28" s="1"/>
  <c r="AE91" i="28"/>
  <c r="AM91" i="28" s="1"/>
  <c r="AO91" i="28" s="1"/>
  <c r="L108" i="28"/>
  <c r="L109" i="28"/>
  <c r="K108" i="28"/>
  <c r="J69" i="28"/>
  <c r="H108" i="28"/>
  <c r="F108" i="28"/>
  <c r="D37" i="26"/>
  <c r="D35" i="26"/>
  <c r="D34" i="26"/>
  <c r="S69" i="28" l="1"/>
  <c r="R69" i="28"/>
  <c r="U69" i="28"/>
  <c r="AN69" i="28" s="1"/>
  <c r="AM43" i="28"/>
  <c r="AO43" i="28" s="1"/>
  <c r="AK86" i="28"/>
  <c r="AM86" i="28" s="1"/>
  <c r="AO86" i="28" s="1"/>
  <c r="AL6" i="28"/>
  <c r="AL34" i="28"/>
  <c r="J108" i="28"/>
  <c r="K109" i="28"/>
  <c r="I31" i="28"/>
  <c r="G37" i="28"/>
  <c r="G109" i="28"/>
  <c r="H109" i="28"/>
  <c r="S31" i="28" l="1"/>
  <c r="AJ69" i="28"/>
  <c r="G108" i="28"/>
  <c r="S37" i="28"/>
  <c r="I109" i="28"/>
  <c r="AM69" i="28" l="1"/>
  <c r="AO69" i="28" s="1"/>
  <c r="J109" i="28"/>
  <c r="M80" i="11"/>
  <c r="L80" i="11"/>
  <c r="K80" i="11"/>
  <c r="J80" i="11"/>
  <c r="I80" i="11"/>
  <c r="H80" i="11"/>
  <c r="G80" i="11"/>
  <c r="F80" i="11"/>
  <c r="E80" i="11"/>
  <c r="D80" i="11"/>
  <c r="C80" i="11"/>
  <c r="B80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M75" i="11"/>
  <c r="L75" i="11"/>
  <c r="K75" i="11"/>
  <c r="J75" i="11"/>
  <c r="I75" i="11"/>
  <c r="H75" i="11"/>
  <c r="G75" i="11"/>
  <c r="F75" i="11"/>
  <c r="E75" i="11"/>
  <c r="D75" i="11"/>
  <c r="C75" i="11"/>
  <c r="B75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M72" i="11"/>
  <c r="L72" i="11"/>
  <c r="K72" i="11"/>
  <c r="J72" i="11"/>
  <c r="I72" i="11"/>
  <c r="H72" i="11"/>
  <c r="G72" i="11"/>
  <c r="F72" i="11"/>
  <c r="E72" i="11"/>
  <c r="D72" i="11"/>
  <c r="C72" i="11"/>
  <c r="B72" i="11"/>
  <c r="M71" i="11"/>
  <c r="L71" i="11"/>
  <c r="K71" i="11"/>
  <c r="J71" i="11"/>
  <c r="I71" i="11"/>
  <c r="H71" i="11"/>
  <c r="G71" i="11"/>
  <c r="F71" i="11"/>
  <c r="E71" i="11"/>
  <c r="D71" i="11"/>
  <c r="C71" i="11"/>
  <c r="B71" i="11"/>
  <c r="M70" i="11"/>
  <c r="L70" i="11"/>
  <c r="K70" i="11"/>
  <c r="J70" i="11"/>
  <c r="I70" i="11"/>
  <c r="H70" i="11"/>
  <c r="G70" i="11"/>
  <c r="F70" i="11"/>
  <c r="E70" i="11"/>
  <c r="D70" i="11"/>
  <c r="C70" i="11"/>
  <c r="B70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P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W20" i="11"/>
  <c r="V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S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S13" i="11"/>
  <c r="Q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S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S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S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S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S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S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S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S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Q105" i="28"/>
  <c r="Q107" i="28" s="1"/>
  <c r="P105" i="28"/>
  <c r="P107" i="28" s="1"/>
  <c r="O105" i="28"/>
  <c r="O107" i="28" s="1"/>
  <c r="M105" i="28"/>
  <c r="M107" i="28" s="1"/>
  <c r="L105" i="28"/>
  <c r="L107" i="28" s="1"/>
  <c r="K105" i="28"/>
  <c r="K107" i="28" s="1"/>
  <c r="J105" i="28"/>
  <c r="J107" i="28" s="1"/>
  <c r="I105" i="28"/>
  <c r="I107" i="28" s="1"/>
  <c r="H105" i="28"/>
  <c r="H107" i="28" s="1"/>
  <c r="G105" i="28"/>
  <c r="G107" i="28" s="1"/>
  <c r="F105" i="28"/>
  <c r="F107" i="28" s="1"/>
  <c r="C78" i="28"/>
  <c r="AS26" i="28"/>
  <c r="AS24" i="28"/>
  <c r="AS25" i="28"/>
  <c r="AU18" i="28"/>
  <c r="AV18" i="28" s="1"/>
  <c r="AW18" i="28" s="1"/>
  <c r="AU17" i="28"/>
  <c r="AV17" i="28" s="1"/>
  <c r="AW17" i="28" s="1"/>
  <c r="AU15" i="28"/>
  <c r="AV15" i="28" s="1"/>
  <c r="AW15" i="28" s="1"/>
  <c r="AU14" i="28"/>
  <c r="AV14" i="28" s="1"/>
  <c r="AW14" i="28" s="1"/>
  <c r="AU13" i="28"/>
  <c r="AV13" i="28" s="1"/>
  <c r="AW13" i="28" s="1"/>
  <c r="AU12" i="28"/>
  <c r="AU9" i="28"/>
  <c r="AV9" i="28" s="1"/>
  <c r="AV7" i="28"/>
  <c r="AW7" i="28" s="1"/>
  <c r="Q1" i="28"/>
  <c r="P1" i="28"/>
  <c r="O1" i="28"/>
  <c r="M1" i="28"/>
  <c r="L1" i="28"/>
  <c r="K1" i="28"/>
  <c r="J1" i="28"/>
  <c r="I1" i="28"/>
  <c r="H1" i="28"/>
  <c r="G1" i="28"/>
  <c r="F1" i="28"/>
  <c r="Q113" i="27"/>
  <c r="P113" i="27"/>
  <c r="O113" i="27"/>
  <c r="N113" i="27"/>
  <c r="M113" i="27"/>
  <c r="L113" i="27"/>
  <c r="K113" i="27"/>
  <c r="J113" i="27"/>
  <c r="I113" i="27"/>
  <c r="H113" i="27"/>
  <c r="G113" i="27"/>
  <c r="F113" i="27"/>
  <c r="Q110" i="27"/>
  <c r="P110" i="27"/>
  <c r="O110" i="27"/>
  <c r="N110" i="27"/>
  <c r="M110" i="27"/>
  <c r="L110" i="27"/>
  <c r="K110" i="27"/>
  <c r="J110" i="27"/>
  <c r="I110" i="27"/>
  <c r="H110" i="27"/>
  <c r="G110" i="27"/>
  <c r="F110" i="27"/>
  <c r="Q109" i="27"/>
  <c r="P109" i="27"/>
  <c r="O109" i="27"/>
  <c r="N109" i="27"/>
  <c r="M109" i="27"/>
  <c r="L109" i="27"/>
  <c r="K109" i="27"/>
  <c r="J109" i="27"/>
  <c r="I109" i="27"/>
  <c r="H109" i="27"/>
  <c r="G109" i="27"/>
  <c r="F109" i="27"/>
  <c r="Q108" i="27"/>
  <c r="P108" i="27"/>
  <c r="O108" i="27"/>
  <c r="N108" i="27"/>
  <c r="M108" i="27"/>
  <c r="L108" i="27"/>
  <c r="K108" i="27"/>
  <c r="J108" i="27"/>
  <c r="I108" i="27"/>
  <c r="H108" i="27"/>
  <c r="G108" i="27"/>
  <c r="F108" i="27"/>
  <c r="Q107" i="27"/>
  <c r="P107" i="27"/>
  <c r="O107" i="27"/>
  <c r="N107" i="27"/>
  <c r="M107" i="27"/>
  <c r="L107" i="27"/>
  <c r="K107" i="27"/>
  <c r="J107" i="27"/>
  <c r="I107" i="27"/>
  <c r="H107" i="27"/>
  <c r="G107" i="27"/>
  <c r="F107" i="27"/>
  <c r="Q106" i="27"/>
  <c r="P106" i="27"/>
  <c r="O106" i="27"/>
  <c r="N106" i="27"/>
  <c r="M106" i="27"/>
  <c r="L106" i="27"/>
  <c r="K106" i="27"/>
  <c r="J106" i="27"/>
  <c r="I106" i="27"/>
  <c r="H106" i="27"/>
  <c r="G106" i="27"/>
  <c r="F106" i="27"/>
  <c r="Q105" i="27"/>
  <c r="P105" i="27"/>
  <c r="O105" i="27"/>
  <c r="N105" i="27"/>
  <c r="M105" i="27"/>
  <c r="L105" i="27"/>
  <c r="K105" i="27"/>
  <c r="J105" i="27"/>
  <c r="I105" i="27"/>
  <c r="H105" i="27"/>
  <c r="G105" i="27"/>
  <c r="F105" i="27"/>
  <c r="Q104" i="27"/>
  <c r="P104" i="27"/>
  <c r="O104" i="27"/>
  <c r="N104" i="27"/>
  <c r="M104" i="27"/>
  <c r="L104" i="27"/>
  <c r="K104" i="27"/>
  <c r="J104" i="27"/>
  <c r="I104" i="27"/>
  <c r="H104" i="27"/>
  <c r="G104" i="27"/>
  <c r="F104" i="27"/>
  <c r="Q103" i="27"/>
  <c r="P103" i="27"/>
  <c r="O103" i="27"/>
  <c r="N103" i="27"/>
  <c r="M103" i="27"/>
  <c r="L103" i="27"/>
  <c r="K103" i="27"/>
  <c r="J103" i="27"/>
  <c r="I103" i="27"/>
  <c r="H103" i="27"/>
  <c r="G103" i="27"/>
  <c r="F103" i="27"/>
  <c r="Q102" i="27"/>
  <c r="P102" i="27"/>
  <c r="O102" i="27"/>
  <c r="N102" i="27"/>
  <c r="M102" i="27"/>
  <c r="L102" i="27"/>
  <c r="K102" i="27"/>
  <c r="J102" i="27"/>
  <c r="I102" i="27"/>
  <c r="H102" i="27"/>
  <c r="G102" i="27"/>
  <c r="F102" i="27"/>
  <c r="Q101" i="27"/>
  <c r="P101" i="27"/>
  <c r="O101" i="27"/>
  <c r="N101" i="27"/>
  <c r="M101" i="27"/>
  <c r="L101" i="27"/>
  <c r="K101" i="27"/>
  <c r="J101" i="27"/>
  <c r="I101" i="27"/>
  <c r="H101" i="27"/>
  <c r="G101" i="27"/>
  <c r="F101" i="27"/>
  <c r="S99" i="27"/>
  <c r="R99" i="27"/>
  <c r="Q99" i="27"/>
  <c r="P99" i="27"/>
  <c r="O99" i="27"/>
  <c r="N99" i="27"/>
  <c r="M99" i="27"/>
  <c r="L99" i="27"/>
  <c r="K99" i="27"/>
  <c r="J99" i="27"/>
  <c r="I99" i="27"/>
  <c r="H99" i="27"/>
  <c r="G99" i="27"/>
  <c r="F99" i="27"/>
  <c r="AK98" i="27"/>
  <c r="AJ98" i="27"/>
  <c r="AI98" i="27"/>
  <c r="AH98" i="27"/>
  <c r="AG98" i="27"/>
  <c r="AF98" i="27"/>
  <c r="AE98" i="27"/>
  <c r="AD98" i="27"/>
  <c r="AC98" i="27"/>
  <c r="AB98" i="27"/>
  <c r="AA98" i="27"/>
  <c r="Z98" i="27"/>
  <c r="Y98" i="27"/>
  <c r="X98" i="27"/>
  <c r="W98" i="27"/>
  <c r="V98" i="27"/>
  <c r="U98" i="27"/>
  <c r="S98" i="27"/>
  <c r="R98" i="27"/>
  <c r="AK97" i="27"/>
  <c r="AJ97" i="27"/>
  <c r="AI97" i="27"/>
  <c r="AH97" i="27"/>
  <c r="AG97" i="27"/>
  <c r="AF97" i="27"/>
  <c r="AE97" i="27"/>
  <c r="AD97" i="27"/>
  <c r="AC97" i="27"/>
  <c r="AB97" i="27"/>
  <c r="AA97" i="27"/>
  <c r="Z97" i="27"/>
  <c r="Y97" i="27"/>
  <c r="X97" i="27"/>
  <c r="W97" i="27"/>
  <c r="V97" i="27"/>
  <c r="U97" i="27"/>
  <c r="S97" i="27"/>
  <c r="R97" i="27"/>
  <c r="AK96" i="27"/>
  <c r="AJ96" i="27"/>
  <c r="AI96" i="27"/>
  <c r="AH96" i="27"/>
  <c r="AG96" i="27"/>
  <c r="AF96" i="27"/>
  <c r="AE96" i="27"/>
  <c r="AD96" i="27"/>
  <c r="AC96" i="27"/>
  <c r="AB96" i="27"/>
  <c r="AA96" i="27"/>
  <c r="Z96" i="27"/>
  <c r="Y96" i="27"/>
  <c r="X96" i="27"/>
  <c r="W96" i="27"/>
  <c r="V96" i="27"/>
  <c r="U96" i="27"/>
  <c r="S96" i="27"/>
  <c r="R96" i="27"/>
  <c r="AK95" i="27"/>
  <c r="AJ95" i="27"/>
  <c r="AI95" i="27"/>
  <c r="AH95" i="27"/>
  <c r="AG95" i="27"/>
  <c r="AF95" i="27"/>
  <c r="AE95" i="27"/>
  <c r="AD95" i="27"/>
  <c r="AC95" i="27"/>
  <c r="AB95" i="27"/>
  <c r="AA95" i="27"/>
  <c r="Z95" i="27"/>
  <c r="Y95" i="27"/>
  <c r="X95" i="27"/>
  <c r="W95" i="27"/>
  <c r="V95" i="27"/>
  <c r="U95" i="27"/>
  <c r="S95" i="27"/>
  <c r="R95" i="27"/>
  <c r="AK94" i="27"/>
  <c r="AJ94" i="27"/>
  <c r="AI94" i="27"/>
  <c r="AH94" i="27"/>
  <c r="AG94" i="27"/>
  <c r="AF94" i="27"/>
  <c r="AE94" i="27"/>
  <c r="AD94" i="27"/>
  <c r="AC94" i="27"/>
  <c r="AB94" i="27"/>
  <c r="AA94" i="27"/>
  <c r="Z94" i="27"/>
  <c r="Y94" i="27"/>
  <c r="X94" i="27"/>
  <c r="W94" i="27"/>
  <c r="V94" i="27"/>
  <c r="U94" i="27"/>
  <c r="S94" i="27"/>
  <c r="R94" i="27"/>
  <c r="AK93" i="27"/>
  <c r="AJ93" i="27"/>
  <c r="AI93" i="27"/>
  <c r="AH93" i="27"/>
  <c r="AG93" i="27"/>
  <c r="AF93" i="27"/>
  <c r="AE93" i="27"/>
  <c r="AD93" i="27"/>
  <c r="AC93" i="27"/>
  <c r="AB93" i="27"/>
  <c r="AA93" i="27"/>
  <c r="Z93" i="27"/>
  <c r="Y93" i="27"/>
  <c r="X93" i="27"/>
  <c r="W93" i="27"/>
  <c r="V93" i="27"/>
  <c r="U93" i="27"/>
  <c r="S93" i="27"/>
  <c r="R93" i="27"/>
  <c r="AK92" i="27"/>
  <c r="AJ92" i="27"/>
  <c r="AI92" i="27"/>
  <c r="AH92" i="27"/>
  <c r="AG92" i="27"/>
  <c r="AF92" i="27"/>
  <c r="AE92" i="27"/>
  <c r="AD92" i="27"/>
  <c r="AC92" i="27"/>
  <c r="AB92" i="27"/>
  <c r="AA92" i="27"/>
  <c r="Z92" i="27"/>
  <c r="Y92" i="27"/>
  <c r="X92" i="27"/>
  <c r="W92" i="27"/>
  <c r="V92" i="27"/>
  <c r="U92" i="27"/>
  <c r="S92" i="27"/>
  <c r="R92" i="27"/>
  <c r="AK91" i="27"/>
  <c r="AJ91" i="27"/>
  <c r="AI91" i="27"/>
  <c r="AH91" i="27"/>
  <c r="AG91" i="27"/>
  <c r="AF91" i="27"/>
  <c r="AE91" i="27"/>
  <c r="AD91" i="27"/>
  <c r="AC91" i="27"/>
  <c r="AB91" i="27"/>
  <c r="AA91" i="27"/>
  <c r="Z91" i="27"/>
  <c r="Y91" i="27"/>
  <c r="X91" i="27"/>
  <c r="W91" i="27"/>
  <c r="V91" i="27"/>
  <c r="U91" i="27"/>
  <c r="S91" i="27"/>
  <c r="R91" i="27"/>
  <c r="AK90" i="27"/>
  <c r="AJ90" i="27"/>
  <c r="AI90" i="27"/>
  <c r="AH90" i="27"/>
  <c r="AG90" i="27"/>
  <c r="AF90" i="27"/>
  <c r="AE90" i="27"/>
  <c r="AD90" i="27"/>
  <c r="AC90" i="27"/>
  <c r="AB90" i="27"/>
  <c r="AA90" i="27"/>
  <c r="Z90" i="27"/>
  <c r="Y90" i="27"/>
  <c r="X90" i="27"/>
  <c r="W90" i="27"/>
  <c r="V90" i="27"/>
  <c r="U90" i="27"/>
  <c r="S90" i="27"/>
  <c r="R90" i="27"/>
  <c r="AK89" i="27"/>
  <c r="AJ89" i="27"/>
  <c r="AI89" i="27"/>
  <c r="AH89" i="27"/>
  <c r="AG89" i="27"/>
  <c r="AF89" i="27"/>
  <c r="AE89" i="27"/>
  <c r="AD89" i="27"/>
  <c r="AC89" i="27"/>
  <c r="AB89" i="27"/>
  <c r="AA89" i="27"/>
  <c r="Z89" i="27"/>
  <c r="Y89" i="27"/>
  <c r="X89" i="27"/>
  <c r="W89" i="27"/>
  <c r="V89" i="27"/>
  <c r="U89" i="27"/>
  <c r="S89" i="27"/>
  <c r="R89" i="27"/>
  <c r="AK88" i="27"/>
  <c r="AJ88" i="27"/>
  <c r="AI88" i="27"/>
  <c r="AH88" i="27"/>
  <c r="AG88" i="27"/>
  <c r="AF88" i="27"/>
  <c r="AE88" i="27"/>
  <c r="AD88" i="27"/>
  <c r="AC88" i="27"/>
  <c r="AB88" i="27"/>
  <c r="AA88" i="27"/>
  <c r="Z88" i="27"/>
  <c r="Y88" i="27"/>
  <c r="X88" i="27"/>
  <c r="W88" i="27"/>
  <c r="V88" i="27"/>
  <c r="U88" i="27"/>
  <c r="S88" i="27"/>
  <c r="R88" i="27"/>
  <c r="AK87" i="27"/>
  <c r="AJ87" i="27"/>
  <c r="AI87" i="27"/>
  <c r="AH87" i="27"/>
  <c r="AG87" i="27"/>
  <c r="AF87" i="27"/>
  <c r="AE87" i="27"/>
  <c r="AD87" i="27"/>
  <c r="AC87" i="27"/>
  <c r="AB87" i="27"/>
  <c r="AA87" i="27"/>
  <c r="Z87" i="27"/>
  <c r="Y87" i="27"/>
  <c r="X87" i="27"/>
  <c r="W87" i="27"/>
  <c r="V87" i="27"/>
  <c r="U87" i="27"/>
  <c r="S87" i="27"/>
  <c r="R87" i="27"/>
  <c r="AK86" i="27"/>
  <c r="AJ86" i="27"/>
  <c r="AI86" i="27"/>
  <c r="AH86" i="27"/>
  <c r="AG86" i="27"/>
  <c r="AF86" i="27"/>
  <c r="AE86" i="27"/>
  <c r="AD86" i="27"/>
  <c r="AC86" i="27"/>
  <c r="AB86" i="27"/>
  <c r="AA86" i="27"/>
  <c r="Z86" i="27"/>
  <c r="Y86" i="27"/>
  <c r="X86" i="27"/>
  <c r="W86" i="27"/>
  <c r="V86" i="27"/>
  <c r="U86" i="27"/>
  <c r="S86" i="27"/>
  <c r="R86" i="27"/>
  <c r="AK85" i="27"/>
  <c r="AJ85" i="27"/>
  <c r="AI85" i="27"/>
  <c r="AH85" i="27"/>
  <c r="AG85" i="27"/>
  <c r="AF85" i="27"/>
  <c r="AE85" i="27"/>
  <c r="AD85" i="27"/>
  <c r="AC85" i="27"/>
  <c r="AB85" i="27"/>
  <c r="AA85" i="27"/>
  <c r="Z85" i="27"/>
  <c r="Y85" i="27"/>
  <c r="X85" i="27"/>
  <c r="W85" i="27"/>
  <c r="V85" i="27"/>
  <c r="U85" i="27"/>
  <c r="S85" i="27"/>
  <c r="R85" i="27"/>
  <c r="J85" i="27"/>
  <c r="AK84" i="27"/>
  <c r="AJ84" i="27"/>
  <c r="AI84" i="27"/>
  <c r="AH84" i="27"/>
  <c r="AG84" i="27"/>
  <c r="AF84" i="27"/>
  <c r="AE84" i="27"/>
  <c r="AD84" i="27"/>
  <c r="AC84" i="27"/>
  <c r="AB84" i="27"/>
  <c r="AA84" i="27"/>
  <c r="Z84" i="27"/>
  <c r="Y84" i="27"/>
  <c r="X84" i="27"/>
  <c r="W84" i="27"/>
  <c r="V84" i="27"/>
  <c r="U84" i="27"/>
  <c r="S84" i="27"/>
  <c r="R84" i="27"/>
  <c r="AK83" i="27"/>
  <c r="AJ83" i="27"/>
  <c r="AI83" i="27"/>
  <c r="AH83" i="27"/>
  <c r="AG83" i="27"/>
  <c r="AF83" i="27"/>
  <c r="AE83" i="27"/>
  <c r="AD83" i="27"/>
  <c r="AC83" i="27"/>
  <c r="AB83" i="27"/>
  <c r="AA83" i="27"/>
  <c r="Z83" i="27"/>
  <c r="Y83" i="27"/>
  <c r="X83" i="27"/>
  <c r="W83" i="27"/>
  <c r="V83" i="27"/>
  <c r="U83" i="27"/>
  <c r="S83" i="27"/>
  <c r="R83" i="27"/>
  <c r="AK82" i="27"/>
  <c r="AJ82" i="27"/>
  <c r="AI82" i="27"/>
  <c r="AH82" i="27"/>
  <c r="AG82" i="27"/>
  <c r="AF82" i="27"/>
  <c r="AE82" i="27"/>
  <c r="AD82" i="27"/>
  <c r="AC82" i="27"/>
  <c r="AB82" i="27"/>
  <c r="AA82" i="27"/>
  <c r="Z82" i="27"/>
  <c r="Y82" i="27"/>
  <c r="X82" i="27"/>
  <c r="W82" i="27"/>
  <c r="V82" i="27"/>
  <c r="U82" i="27"/>
  <c r="S82" i="27"/>
  <c r="R82" i="27"/>
  <c r="AK81" i="27"/>
  <c r="AJ81" i="27"/>
  <c r="AI81" i="27"/>
  <c r="AH81" i="27"/>
  <c r="AG81" i="27"/>
  <c r="AF81" i="27"/>
  <c r="AE81" i="27"/>
  <c r="AD81" i="27"/>
  <c r="AC81" i="27"/>
  <c r="AB81" i="27"/>
  <c r="AA81" i="27"/>
  <c r="Z81" i="27"/>
  <c r="Y81" i="27"/>
  <c r="X81" i="27"/>
  <c r="W81" i="27"/>
  <c r="V81" i="27"/>
  <c r="U81" i="27"/>
  <c r="S81" i="27"/>
  <c r="R81" i="27"/>
  <c r="AJ80" i="27"/>
  <c r="AI80" i="27"/>
  <c r="AH80" i="27"/>
  <c r="AG80" i="27"/>
  <c r="AF80" i="27"/>
  <c r="AE80" i="27"/>
  <c r="AD80" i="27"/>
  <c r="AC80" i="27"/>
  <c r="AB80" i="27"/>
  <c r="AA80" i="27"/>
  <c r="Z80" i="27"/>
  <c r="Y80" i="27"/>
  <c r="X80" i="27"/>
  <c r="W80" i="27"/>
  <c r="V80" i="27"/>
  <c r="U80" i="27"/>
  <c r="S80" i="27"/>
  <c r="R80" i="27"/>
  <c r="AK79" i="27"/>
  <c r="AJ79" i="27"/>
  <c r="AI79" i="27"/>
  <c r="AH79" i="27"/>
  <c r="AG79" i="27"/>
  <c r="AF79" i="27"/>
  <c r="AE79" i="27"/>
  <c r="AD79" i="27"/>
  <c r="AC79" i="27"/>
  <c r="AB79" i="27"/>
  <c r="AA79" i="27"/>
  <c r="Z79" i="27"/>
  <c r="Y79" i="27"/>
  <c r="X79" i="27"/>
  <c r="W79" i="27"/>
  <c r="V79" i="27"/>
  <c r="U79" i="27"/>
  <c r="S79" i="27"/>
  <c r="R79" i="27"/>
  <c r="AK78" i="27"/>
  <c r="AJ78" i="27"/>
  <c r="AI78" i="27"/>
  <c r="AH78" i="27"/>
  <c r="AG78" i="27"/>
  <c r="AF78" i="27"/>
  <c r="AE78" i="27"/>
  <c r="AD78" i="27"/>
  <c r="AC78" i="27"/>
  <c r="AB78" i="27"/>
  <c r="AA78" i="27"/>
  <c r="Z78" i="27"/>
  <c r="Y78" i="27"/>
  <c r="X78" i="27"/>
  <c r="W78" i="27"/>
  <c r="V78" i="27"/>
  <c r="U78" i="27"/>
  <c r="S78" i="27"/>
  <c r="R78" i="27"/>
  <c r="AK77" i="27"/>
  <c r="AJ77" i="27"/>
  <c r="AI77" i="27"/>
  <c r="AH77" i="27"/>
  <c r="AG77" i="27"/>
  <c r="AF77" i="27"/>
  <c r="AE77" i="27"/>
  <c r="AD77" i="27"/>
  <c r="AC77" i="27"/>
  <c r="AB77" i="27"/>
  <c r="AA77" i="27"/>
  <c r="Z77" i="27"/>
  <c r="Y77" i="27"/>
  <c r="X77" i="27"/>
  <c r="W77" i="27"/>
  <c r="V77" i="27"/>
  <c r="U77" i="27"/>
  <c r="T77" i="27"/>
  <c r="S77" i="27"/>
  <c r="R77" i="27"/>
  <c r="AK76" i="27"/>
  <c r="AJ76" i="27"/>
  <c r="AI76" i="27"/>
  <c r="AH76" i="27"/>
  <c r="AG76" i="27"/>
  <c r="AF76" i="27"/>
  <c r="AE76" i="27"/>
  <c r="AD76" i="27"/>
  <c r="AC76" i="27"/>
  <c r="AB76" i="27"/>
  <c r="AA76" i="27"/>
  <c r="Z76" i="27"/>
  <c r="Y76" i="27"/>
  <c r="X76" i="27"/>
  <c r="W76" i="27"/>
  <c r="V76" i="27"/>
  <c r="U76" i="27"/>
  <c r="S76" i="27"/>
  <c r="R76" i="27"/>
  <c r="AK75" i="27"/>
  <c r="AJ75" i="27"/>
  <c r="AI75" i="27"/>
  <c r="AH75" i="27"/>
  <c r="AG75" i="27"/>
  <c r="AF75" i="27"/>
  <c r="AE75" i="27"/>
  <c r="AD75" i="27"/>
  <c r="AC75" i="27"/>
  <c r="AB75" i="27"/>
  <c r="AA75" i="27"/>
  <c r="Z75" i="27"/>
  <c r="Y75" i="27"/>
  <c r="X75" i="27"/>
  <c r="W75" i="27"/>
  <c r="V75" i="27"/>
  <c r="U75" i="27"/>
  <c r="S75" i="27"/>
  <c r="R75" i="27"/>
  <c r="AK74" i="27"/>
  <c r="AJ74" i="27"/>
  <c r="AI74" i="27"/>
  <c r="AH74" i="27"/>
  <c r="AG74" i="27"/>
  <c r="AF74" i="27"/>
  <c r="AE74" i="27"/>
  <c r="AD74" i="27"/>
  <c r="AC74" i="27"/>
  <c r="AB74" i="27"/>
  <c r="AA74" i="27"/>
  <c r="Z74" i="27"/>
  <c r="Y74" i="27"/>
  <c r="X74" i="27"/>
  <c r="W74" i="27"/>
  <c r="V74" i="27"/>
  <c r="U74" i="27"/>
  <c r="S74" i="27"/>
  <c r="R74" i="27"/>
  <c r="AK73" i="27"/>
  <c r="AJ73" i="27"/>
  <c r="AI73" i="27"/>
  <c r="AH73" i="27"/>
  <c r="AG73" i="27"/>
  <c r="AF73" i="27"/>
  <c r="AE73" i="27"/>
  <c r="AD73" i="27"/>
  <c r="AC73" i="27"/>
  <c r="AB73" i="27"/>
  <c r="AA73" i="27"/>
  <c r="Z73" i="27"/>
  <c r="Y73" i="27"/>
  <c r="X73" i="27"/>
  <c r="W73" i="27"/>
  <c r="V73" i="27"/>
  <c r="U73" i="27"/>
  <c r="S73" i="27"/>
  <c r="R73" i="27"/>
  <c r="C73" i="27"/>
  <c r="AK72" i="27"/>
  <c r="AJ72" i="27"/>
  <c r="AI72" i="27"/>
  <c r="AH72" i="27"/>
  <c r="AG72" i="27"/>
  <c r="AF72" i="27"/>
  <c r="AE72" i="27"/>
  <c r="AD72" i="27"/>
  <c r="AC72" i="27"/>
  <c r="AB72" i="27"/>
  <c r="AA72" i="27"/>
  <c r="Z72" i="27"/>
  <c r="Y72" i="27"/>
  <c r="X72" i="27"/>
  <c r="W72" i="27"/>
  <c r="V72" i="27"/>
  <c r="U72" i="27"/>
  <c r="S72" i="27"/>
  <c r="R72" i="27"/>
  <c r="AK71" i="27"/>
  <c r="AJ71" i="27"/>
  <c r="AI71" i="27"/>
  <c r="AH71" i="27"/>
  <c r="AG71" i="27"/>
  <c r="AF71" i="27"/>
  <c r="AE71" i="27"/>
  <c r="AD71" i="27"/>
  <c r="AC71" i="27"/>
  <c r="AB71" i="27"/>
  <c r="AA71" i="27"/>
  <c r="Z71" i="27"/>
  <c r="Y71" i="27"/>
  <c r="X71" i="27"/>
  <c r="W71" i="27"/>
  <c r="V71" i="27"/>
  <c r="U71" i="27"/>
  <c r="S71" i="27"/>
  <c r="R71" i="27"/>
  <c r="AK70" i="27"/>
  <c r="AJ70" i="27"/>
  <c r="AI70" i="27"/>
  <c r="AH70" i="27"/>
  <c r="AG70" i="27"/>
  <c r="AF70" i="27"/>
  <c r="AE70" i="27"/>
  <c r="AD70" i="27"/>
  <c r="AC70" i="27"/>
  <c r="AB70" i="27"/>
  <c r="AA70" i="27"/>
  <c r="Z70" i="27"/>
  <c r="Y70" i="27"/>
  <c r="X70" i="27"/>
  <c r="W70" i="27"/>
  <c r="V70" i="27"/>
  <c r="U70" i="27"/>
  <c r="S70" i="27"/>
  <c r="R70" i="27"/>
  <c r="AK69" i="27"/>
  <c r="AJ69" i="27"/>
  <c r="AI69" i="27"/>
  <c r="AH69" i="27"/>
  <c r="AG69" i="27"/>
  <c r="AF69" i="27"/>
  <c r="AE69" i="27"/>
  <c r="AD69" i="27"/>
  <c r="AC69" i="27"/>
  <c r="AB69" i="27"/>
  <c r="AA69" i="27"/>
  <c r="Z69" i="27"/>
  <c r="Y69" i="27"/>
  <c r="X69" i="27"/>
  <c r="W69" i="27"/>
  <c r="V69" i="27"/>
  <c r="U69" i="27"/>
  <c r="S69" i="27"/>
  <c r="R69" i="27"/>
  <c r="AK68" i="27"/>
  <c r="AJ68" i="27"/>
  <c r="AI68" i="27"/>
  <c r="AH68" i="27"/>
  <c r="AG68" i="27"/>
  <c r="AF68" i="27"/>
  <c r="AE68" i="27"/>
  <c r="AD68" i="27"/>
  <c r="AC68" i="27"/>
  <c r="AB68" i="27"/>
  <c r="AA68" i="27"/>
  <c r="Z68" i="27"/>
  <c r="Y68" i="27"/>
  <c r="X68" i="27"/>
  <c r="W68" i="27"/>
  <c r="V68" i="27"/>
  <c r="U68" i="27"/>
  <c r="S68" i="27"/>
  <c r="R68" i="27"/>
  <c r="AK67" i="27"/>
  <c r="AJ67" i="27"/>
  <c r="AI67" i="27"/>
  <c r="AH67" i="27"/>
  <c r="AG67" i="27"/>
  <c r="AF67" i="27"/>
  <c r="AE67" i="27"/>
  <c r="AD67" i="27"/>
  <c r="AC67" i="27"/>
  <c r="AB67" i="27"/>
  <c r="AA67" i="27"/>
  <c r="Z67" i="27"/>
  <c r="Y67" i="27"/>
  <c r="X67" i="27"/>
  <c r="W67" i="27"/>
  <c r="V67" i="27"/>
  <c r="U67" i="27"/>
  <c r="S67" i="27"/>
  <c r="R67" i="27"/>
  <c r="AK66" i="27"/>
  <c r="AJ66" i="27"/>
  <c r="AI66" i="27"/>
  <c r="AH66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S66" i="27"/>
  <c r="R66" i="27"/>
  <c r="AK65" i="27"/>
  <c r="AJ65" i="27"/>
  <c r="AI65" i="27"/>
  <c r="AH65" i="27"/>
  <c r="AG65" i="27"/>
  <c r="AF65" i="27"/>
  <c r="AE65" i="27"/>
  <c r="AD65" i="27"/>
  <c r="AC65" i="27"/>
  <c r="AB65" i="27"/>
  <c r="AA65" i="27"/>
  <c r="Z65" i="27"/>
  <c r="Y65" i="27"/>
  <c r="X65" i="27"/>
  <c r="W65" i="27"/>
  <c r="V65" i="27"/>
  <c r="U65" i="27"/>
  <c r="S65" i="27"/>
  <c r="R65" i="27"/>
  <c r="K65" i="27"/>
  <c r="AK64" i="27"/>
  <c r="AJ64" i="27"/>
  <c r="AI64" i="27"/>
  <c r="AH64" i="27"/>
  <c r="AG64" i="27"/>
  <c r="AF64" i="27"/>
  <c r="AE64" i="27"/>
  <c r="AD64" i="27"/>
  <c r="AC64" i="27"/>
  <c r="AB64" i="27"/>
  <c r="AA64" i="27"/>
  <c r="Z64" i="27"/>
  <c r="Y64" i="27"/>
  <c r="X64" i="27"/>
  <c r="W64" i="27"/>
  <c r="V64" i="27"/>
  <c r="U64" i="27"/>
  <c r="S64" i="27"/>
  <c r="R64" i="27"/>
  <c r="AK63" i="27"/>
  <c r="AJ63" i="27"/>
  <c r="AI63" i="27"/>
  <c r="AH63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S63" i="27"/>
  <c r="R63" i="27"/>
  <c r="AK62" i="27"/>
  <c r="AJ62" i="27"/>
  <c r="AI62" i="27"/>
  <c r="AH62" i="27"/>
  <c r="AG62" i="27"/>
  <c r="AF62" i="27"/>
  <c r="AE62" i="27"/>
  <c r="AD62" i="27"/>
  <c r="AC62" i="27"/>
  <c r="AB62" i="27"/>
  <c r="AA62" i="27"/>
  <c r="Z62" i="27"/>
  <c r="Y62" i="27"/>
  <c r="X62" i="27"/>
  <c r="W62" i="27"/>
  <c r="V62" i="27"/>
  <c r="U62" i="27"/>
  <c r="S62" i="27"/>
  <c r="R62" i="27"/>
  <c r="AK61" i="27"/>
  <c r="AJ61" i="27"/>
  <c r="AI61" i="27"/>
  <c r="AH61" i="27"/>
  <c r="AG61" i="27"/>
  <c r="AF61" i="27"/>
  <c r="AE61" i="27"/>
  <c r="AD61" i="27"/>
  <c r="AC61" i="27"/>
  <c r="AB61" i="27"/>
  <c r="AA61" i="27"/>
  <c r="Z61" i="27"/>
  <c r="Y61" i="27"/>
  <c r="X61" i="27"/>
  <c r="W61" i="27"/>
  <c r="V61" i="27"/>
  <c r="U61" i="27"/>
  <c r="S61" i="27"/>
  <c r="R61" i="27"/>
  <c r="AK60" i="27"/>
  <c r="AJ60" i="27"/>
  <c r="AI60" i="27"/>
  <c r="AH60" i="27"/>
  <c r="AG60" i="27"/>
  <c r="AF60" i="27"/>
  <c r="AE60" i="27"/>
  <c r="AD60" i="27"/>
  <c r="AC60" i="27"/>
  <c r="AB60" i="27"/>
  <c r="AA60" i="27"/>
  <c r="Z60" i="27"/>
  <c r="Y60" i="27"/>
  <c r="X60" i="27"/>
  <c r="W60" i="27"/>
  <c r="V60" i="27"/>
  <c r="U60" i="27"/>
  <c r="S60" i="27"/>
  <c r="R60" i="27"/>
  <c r="AK59" i="27"/>
  <c r="AJ59" i="27"/>
  <c r="AI59" i="27"/>
  <c r="AH59" i="27"/>
  <c r="AG59" i="27"/>
  <c r="AF59" i="27"/>
  <c r="AE59" i="27"/>
  <c r="AD59" i="27"/>
  <c r="AC59" i="27"/>
  <c r="AB59" i="27"/>
  <c r="AA59" i="27"/>
  <c r="Z59" i="27"/>
  <c r="Y59" i="27"/>
  <c r="X59" i="27"/>
  <c r="W59" i="27"/>
  <c r="V59" i="27"/>
  <c r="U59" i="27"/>
  <c r="S59" i="27"/>
  <c r="R59" i="27"/>
  <c r="AK58" i="27"/>
  <c r="AJ58" i="27"/>
  <c r="AI58" i="27"/>
  <c r="AH58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S58" i="27"/>
  <c r="R58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S57" i="27"/>
  <c r="R57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S56" i="27"/>
  <c r="R56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S55" i="27"/>
  <c r="R55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S54" i="27"/>
  <c r="R54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S53" i="27"/>
  <c r="R53" i="27"/>
  <c r="J53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S52" i="27"/>
  <c r="R52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S51" i="27"/>
  <c r="R51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S50" i="27"/>
  <c r="R50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S49" i="27"/>
  <c r="R49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S48" i="27"/>
  <c r="R48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S47" i="27"/>
  <c r="R47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S46" i="27"/>
  <c r="R46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S45" i="27"/>
  <c r="R45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S44" i="27"/>
  <c r="R44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S43" i="27"/>
  <c r="R43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S42" i="27"/>
  <c r="R42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S41" i="27"/>
  <c r="R41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S40" i="27"/>
  <c r="R40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S39" i="27"/>
  <c r="R39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S38" i="27"/>
  <c r="R38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S37" i="27"/>
  <c r="R37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S36" i="27"/>
  <c r="R36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S35" i="27"/>
  <c r="R35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S34" i="27"/>
  <c r="R34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S33" i="27"/>
  <c r="R33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S32" i="27"/>
  <c r="R32" i="27"/>
  <c r="AP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S31" i="27"/>
  <c r="R31" i="27"/>
  <c r="AP30" i="27"/>
  <c r="AO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S30" i="27"/>
  <c r="R30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S29" i="27"/>
  <c r="R29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S28" i="27"/>
  <c r="R28" i="27"/>
  <c r="AP27" i="27"/>
  <c r="AO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S27" i="27"/>
  <c r="R27" i="27"/>
  <c r="AP26" i="27"/>
  <c r="AO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S26" i="27"/>
  <c r="R26" i="27"/>
  <c r="AP25" i="27"/>
  <c r="AO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S25" i="27"/>
  <c r="R25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S24" i="27"/>
  <c r="R24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S23" i="27"/>
  <c r="R23" i="27"/>
  <c r="AR22" i="27"/>
  <c r="AN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S22" i="27"/>
  <c r="R22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S21" i="27"/>
  <c r="R21" i="27"/>
  <c r="AY20" i="27"/>
  <c r="AW20" i="27"/>
  <c r="AU20" i="27"/>
  <c r="AT20" i="27"/>
  <c r="AS20" i="27"/>
  <c r="AR20" i="27"/>
  <c r="AQ20" i="27"/>
  <c r="AP20" i="27"/>
  <c r="AO20" i="27"/>
  <c r="AN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S20" i="27"/>
  <c r="R20" i="27"/>
  <c r="AY19" i="27"/>
  <c r="AW19" i="27"/>
  <c r="AU19" i="27"/>
  <c r="AT19" i="27"/>
  <c r="AS19" i="27"/>
  <c r="AR19" i="27"/>
  <c r="AO19" i="27"/>
  <c r="AN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S19" i="27"/>
  <c r="R19" i="27"/>
  <c r="AY18" i="27"/>
  <c r="AW18" i="27"/>
  <c r="AU18" i="27"/>
  <c r="AT18" i="27"/>
  <c r="AS18" i="27"/>
  <c r="AR18" i="27"/>
  <c r="AO18" i="27"/>
  <c r="AN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S18" i="27"/>
  <c r="R18" i="27"/>
  <c r="AY17" i="27"/>
  <c r="AW17" i="27"/>
  <c r="AU17" i="27"/>
  <c r="AT17" i="27"/>
  <c r="AS17" i="27"/>
  <c r="AR17" i="27"/>
  <c r="AP17" i="27"/>
  <c r="AO17" i="27"/>
  <c r="AN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S17" i="27"/>
  <c r="R17" i="27"/>
  <c r="AY16" i="27"/>
  <c r="AW16" i="27"/>
  <c r="AU16" i="27"/>
  <c r="AT16" i="27"/>
  <c r="AS16" i="27"/>
  <c r="AR16" i="27"/>
  <c r="AP16" i="27"/>
  <c r="AO16" i="27"/>
  <c r="AN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S16" i="27"/>
  <c r="R16" i="27"/>
  <c r="AR15" i="27"/>
  <c r="AP15" i="27"/>
  <c r="AO15" i="27"/>
  <c r="AN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S15" i="27"/>
  <c r="R15" i="27"/>
  <c r="AY14" i="27"/>
  <c r="AW14" i="27"/>
  <c r="AU14" i="27"/>
  <c r="AT14" i="27"/>
  <c r="AS14" i="27"/>
  <c r="AR14" i="27"/>
  <c r="AP14" i="27"/>
  <c r="AO14" i="27"/>
  <c r="AN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S14" i="27"/>
  <c r="R14" i="27"/>
  <c r="AY13" i="27"/>
  <c r="AW13" i="27"/>
  <c r="AU13" i="27"/>
  <c r="AT13" i="27"/>
  <c r="AS13" i="27"/>
  <c r="AR13" i="27"/>
  <c r="AP13" i="27"/>
  <c r="AO13" i="27"/>
  <c r="AN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S13" i="27"/>
  <c r="R13" i="27"/>
  <c r="AY12" i="27"/>
  <c r="AW12" i="27"/>
  <c r="AU12" i="27"/>
  <c r="AT12" i="27"/>
  <c r="AS12" i="27"/>
  <c r="AR12" i="27"/>
  <c r="AP12" i="27"/>
  <c r="AO12" i="27"/>
  <c r="AN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S12" i="27"/>
  <c r="R12" i="27"/>
  <c r="AY11" i="27"/>
  <c r="AW11" i="27"/>
  <c r="AU11" i="27"/>
  <c r="AT11" i="27"/>
  <c r="AS11" i="27"/>
  <c r="AR11" i="27"/>
  <c r="AP11" i="27"/>
  <c r="AO11" i="27"/>
  <c r="AN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S11" i="27"/>
  <c r="R11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S10" i="27"/>
  <c r="R10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S9" i="27"/>
  <c r="R9" i="27"/>
  <c r="O9" i="27"/>
  <c r="N9" i="27"/>
  <c r="M9" i="27"/>
  <c r="L9" i="27"/>
  <c r="AY8" i="27"/>
  <c r="AW8" i="27"/>
  <c r="AU8" i="27"/>
  <c r="AT8" i="27"/>
  <c r="AS8" i="27"/>
  <c r="AR8" i="27"/>
  <c r="AP8" i="27"/>
  <c r="AO8" i="27"/>
  <c r="AN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S8" i="27"/>
  <c r="R8" i="27"/>
  <c r="AW7" i="27"/>
  <c r="AU7" i="27"/>
  <c r="AT7" i="27"/>
  <c r="AQ7" i="27"/>
  <c r="AO7" i="27"/>
  <c r="AN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S7" i="27"/>
  <c r="R7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S6" i="27"/>
  <c r="R6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S5" i="27"/>
  <c r="R5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S4" i="27"/>
  <c r="R4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C2" i="27"/>
  <c r="R1" i="27"/>
  <c r="Q1" i="27"/>
  <c r="P1" i="27"/>
  <c r="O1" i="27"/>
  <c r="N1" i="27"/>
  <c r="M1" i="27"/>
  <c r="L1" i="27"/>
  <c r="K1" i="27"/>
  <c r="J1" i="27"/>
  <c r="I1" i="27"/>
  <c r="H1" i="27"/>
  <c r="G1" i="27"/>
  <c r="F1" i="27"/>
  <c r="Q117" i="25"/>
  <c r="P117" i="25"/>
  <c r="O117" i="25"/>
  <c r="N117" i="25"/>
  <c r="M117" i="25"/>
  <c r="L117" i="25"/>
  <c r="K117" i="25"/>
  <c r="J117" i="25"/>
  <c r="I117" i="25"/>
  <c r="H117" i="25"/>
  <c r="G117" i="25"/>
  <c r="F117" i="25"/>
  <c r="Q114" i="25"/>
  <c r="P114" i="25"/>
  <c r="O114" i="25"/>
  <c r="N114" i="25"/>
  <c r="M114" i="25"/>
  <c r="L114" i="25"/>
  <c r="K114" i="25"/>
  <c r="J114" i="25"/>
  <c r="I114" i="25"/>
  <c r="H114" i="25"/>
  <c r="G114" i="25"/>
  <c r="F114" i="25"/>
  <c r="Q113" i="25"/>
  <c r="P113" i="25"/>
  <c r="O113" i="25"/>
  <c r="N113" i="25"/>
  <c r="M113" i="25"/>
  <c r="L113" i="25"/>
  <c r="K113" i="25"/>
  <c r="J113" i="25"/>
  <c r="I113" i="25"/>
  <c r="H113" i="25"/>
  <c r="G113" i="25"/>
  <c r="F113" i="25"/>
  <c r="Q112" i="25"/>
  <c r="P112" i="25"/>
  <c r="O112" i="25"/>
  <c r="N112" i="25"/>
  <c r="M112" i="25"/>
  <c r="L112" i="25"/>
  <c r="K112" i="25"/>
  <c r="J112" i="25"/>
  <c r="I112" i="25"/>
  <c r="H112" i="25"/>
  <c r="G112" i="25"/>
  <c r="F112" i="25"/>
  <c r="Q111" i="25"/>
  <c r="P111" i="25"/>
  <c r="O111" i="25"/>
  <c r="N111" i="25"/>
  <c r="M111" i="25"/>
  <c r="L111" i="25"/>
  <c r="K111" i="25"/>
  <c r="J111" i="25"/>
  <c r="I111" i="25"/>
  <c r="H111" i="25"/>
  <c r="G111" i="25"/>
  <c r="F111" i="25"/>
  <c r="Q110" i="25"/>
  <c r="P110" i="25"/>
  <c r="O110" i="25"/>
  <c r="N110" i="25"/>
  <c r="M110" i="25"/>
  <c r="L110" i="25"/>
  <c r="K110" i="25"/>
  <c r="J110" i="25"/>
  <c r="I110" i="25"/>
  <c r="H110" i="25"/>
  <c r="G110" i="25"/>
  <c r="F110" i="25"/>
  <c r="Q109" i="25"/>
  <c r="P109" i="25"/>
  <c r="O109" i="25"/>
  <c r="N109" i="25"/>
  <c r="M109" i="25"/>
  <c r="L109" i="25"/>
  <c r="K109" i="25"/>
  <c r="J109" i="25"/>
  <c r="I109" i="25"/>
  <c r="H109" i="25"/>
  <c r="G109" i="25"/>
  <c r="F109" i="25"/>
  <c r="Q108" i="25"/>
  <c r="P108" i="25"/>
  <c r="O108" i="25"/>
  <c r="N108" i="25"/>
  <c r="M108" i="25"/>
  <c r="L108" i="25"/>
  <c r="K108" i="25"/>
  <c r="J108" i="25"/>
  <c r="I108" i="25"/>
  <c r="H108" i="25"/>
  <c r="G108" i="25"/>
  <c r="F108" i="25"/>
  <c r="Q107" i="25"/>
  <c r="P107" i="25"/>
  <c r="O107" i="25"/>
  <c r="N107" i="25"/>
  <c r="M107" i="25"/>
  <c r="L107" i="25"/>
  <c r="K107" i="25"/>
  <c r="J107" i="25"/>
  <c r="I107" i="25"/>
  <c r="H107" i="25"/>
  <c r="G107" i="25"/>
  <c r="F107" i="25"/>
  <c r="P106" i="25"/>
  <c r="O106" i="25"/>
  <c r="N106" i="25"/>
  <c r="M106" i="25"/>
  <c r="L106" i="25"/>
  <c r="K106" i="25"/>
  <c r="J106" i="25"/>
  <c r="I106" i="25"/>
  <c r="H106" i="25"/>
  <c r="G106" i="25"/>
  <c r="F106" i="25"/>
  <c r="Q105" i="25"/>
  <c r="P105" i="25"/>
  <c r="O105" i="25"/>
  <c r="N105" i="25"/>
  <c r="M105" i="25"/>
  <c r="L105" i="25"/>
  <c r="K105" i="25"/>
  <c r="J105" i="25"/>
  <c r="I105" i="25"/>
  <c r="H105" i="25"/>
  <c r="G105" i="25"/>
  <c r="F105" i="25"/>
  <c r="S103" i="25"/>
  <c r="R103" i="25"/>
  <c r="Q103" i="25"/>
  <c r="P103" i="25"/>
  <c r="O103" i="25"/>
  <c r="N103" i="25"/>
  <c r="M103" i="25"/>
  <c r="L103" i="25"/>
  <c r="K103" i="25"/>
  <c r="J103" i="25"/>
  <c r="I103" i="25"/>
  <c r="H103" i="25"/>
  <c r="G103" i="25"/>
  <c r="F103" i="25"/>
  <c r="AK102" i="25"/>
  <c r="AJ102" i="25"/>
  <c r="AI102" i="25"/>
  <c r="AH102" i="25"/>
  <c r="AG102" i="25"/>
  <c r="AF102" i="25"/>
  <c r="AE102" i="25"/>
  <c r="AD102" i="25"/>
  <c r="AC102" i="25"/>
  <c r="AB102" i="25"/>
  <c r="AA102" i="25"/>
  <c r="Z102" i="25"/>
  <c r="Y102" i="25"/>
  <c r="X102" i="25"/>
  <c r="W102" i="25"/>
  <c r="V102" i="25"/>
  <c r="U102" i="25"/>
  <c r="S102" i="25"/>
  <c r="R102" i="25"/>
  <c r="AK100" i="25"/>
  <c r="AJ100" i="25"/>
  <c r="AI100" i="25"/>
  <c r="AH100" i="25"/>
  <c r="AG100" i="25"/>
  <c r="AF100" i="25"/>
  <c r="AE100" i="25"/>
  <c r="AD100" i="25"/>
  <c r="AC100" i="25"/>
  <c r="AB100" i="25"/>
  <c r="AA100" i="25"/>
  <c r="Z100" i="25"/>
  <c r="Y100" i="25"/>
  <c r="X100" i="25"/>
  <c r="W100" i="25"/>
  <c r="V100" i="25"/>
  <c r="U100" i="25"/>
  <c r="S100" i="25"/>
  <c r="R100" i="25"/>
  <c r="AK99" i="25"/>
  <c r="AJ99" i="25"/>
  <c r="AI99" i="25"/>
  <c r="AH99" i="25"/>
  <c r="AG99" i="25"/>
  <c r="AF99" i="25"/>
  <c r="AE99" i="25"/>
  <c r="AD99" i="25"/>
  <c r="AC99" i="25"/>
  <c r="AB99" i="25"/>
  <c r="AA99" i="25"/>
  <c r="Z99" i="25"/>
  <c r="Y99" i="25"/>
  <c r="X99" i="25"/>
  <c r="W99" i="25"/>
  <c r="V99" i="25"/>
  <c r="U99" i="25"/>
  <c r="S99" i="25"/>
  <c r="R99" i="25"/>
  <c r="AK98" i="25"/>
  <c r="AJ98" i="25"/>
  <c r="AI98" i="25"/>
  <c r="AH98" i="25"/>
  <c r="AG98" i="25"/>
  <c r="AF98" i="25"/>
  <c r="AE98" i="25"/>
  <c r="AD98" i="25"/>
  <c r="AC98" i="25"/>
  <c r="AB98" i="25"/>
  <c r="AA98" i="25"/>
  <c r="Z98" i="25"/>
  <c r="Y98" i="25"/>
  <c r="X98" i="25"/>
  <c r="W98" i="25"/>
  <c r="V98" i="25"/>
  <c r="U98" i="25"/>
  <c r="S98" i="25"/>
  <c r="R98" i="25"/>
  <c r="AK97" i="25"/>
  <c r="AJ97" i="25"/>
  <c r="AI97" i="25"/>
  <c r="AH97" i="25"/>
  <c r="AG97" i="25"/>
  <c r="AF97" i="25"/>
  <c r="AE97" i="25"/>
  <c r="AD97" i="25"/>
  <c r="AC97" i="25"/>
  <c r="AB97" i="25"/>
  <c r="AA97" i="25"/>
  <c r="Z97" i="25"/>
  <c r="Y97" i="25"/>
  <c r="X97" i="25"/>
  <c r="W97" i="25"/>
  <c r="V97" i="25"/>
  <c r="U97" i="25"/>
  <c r="S97" i="25"/>
  <c r="R97" i="25"/>
  <c r="AK96" i="25"/>
  <c r="AJ96" i="25"/>
  <c r="AI96" i="25"/>
  <c r="AH96" i="25"/>
  <c r="AG96" i="25"/>
  <c r="AF96" i="25"/>
  <c r="AE96" i="25"/>
  <c r="AD96" i="25"/>
  <c r="AC96" i="25"/>
  <c r="AB96" i="25"/>
  <c r="AA96" i="25"/>
  <c r="Z96" i="25"/>
  <c r="Y96" i="25"/>
  <c r="X96" i="25"/>
  <c r="W96" i="25"/>
  <c r="V96" i="25"/>
  <c r="U96" i="25"/>
  <c r="S96" i="25"/>
  <c r="R96" i="25"/>
  <c r="AK95" i="25"/>
  <c r="AJ95" i="25"/>
  <c r="AI95" i="25"/>
  <c r="AH95" i="25"/>
  <c r="AG95" i="25"/>
  <c r="AF95" i="25"/>
  <c r="AE95" i="25"/>
  <c r="AD95" i="25"/>
  <c r="AC95" i="25"/>
  <c r="AB95" i="25"/>
  <c r="AA95" i="25"/>
  <c r="Z95" i="25"/>
  <c r="Y95" i="25"/>
  <c r="X95" i="25"/>
  <c r="W95" i="25"/>
  <c r="V95" i="25"/>
  <c r="U95" i="25"/>
  <c r="S95" i="25"/>
  <c r="R95" i="25"/>
  <c r="AK94" i="25"/>
  <c r="AJ94" i="25"/>
  <c r="AI94" i="25"/>
  <c r="AH94" i="25"/>
  <c r="AG94" i="25"/>
  <c r="AF94" i="25"/>
  <c r="AE94" i="25"/>
  <c r="AD94" i="25"/>
  <c r="AC94" i="25"/>
  <c r="AB94" i="25"/>
  <c r="AA94" i="25"/>
  <c r="Z94" i="25"/>
  <c r="Y94" i="25"/>
  <c r="X94" i="25"/>
  <c r="W94" i="25"/>
  <c r="V94" i="25"/>
  <c r="U94" i="25"/>
  <c r="S94" i="25"/>
  <c r="R94" i="25"/>
  <c r="AK93" i="25"/>
  <c r="AJ93" i="25"/>
  <c r="AI93" i="25"/>
  <c r="AH93" i="25"/>
  <c r="AG93" i="25"/>
  <c r="AF93" i="25"/>
  <c r="AE93" i="25"/>
  <c r="AD93" i="25"/>
  <c r="AC93" i="25"/>
  <c r="AB93" i="25"/>
  <c r="AA93" i="25"/>
  <c r="Z93" i="25"/>
  <c r="Y93" i="25"/>
  <c r="X93" i="25"/>
  <c r="W93" i="25"/>
  <c r="V93" i="25"/>
  <c r="U93" i="25"/>
  <c r="S93" i="25"/>
  <c r="R93" i="25"/>
  <c r="AK92" i="25"/>
  <c r="AJ92" i="25"/>
  <c r="AI92" i="25"/>
  <c r="AH92" i="25"/>
  <c r="AG92" i="25"/>
  <c r="AF92" i="25"/>
  <c r="AE92" i="25"/>
  <c r="AD92" i="25"/>
  <c r="AC92" i="25"/>
  <c r="AB92" i="25"/>
  <c r="AA92" i="25"/>
  <c r="Z92" i="25"/>
  <c r="Y92" i="25"/>
  <c r="X92" i="25"/>
  <c r="W92" i="25"/>
  <c r="V92" i="25"/>
  <c r="U92" i="25"/>
  <c r="S92" i="25"/>
  <c r="R92" i="25"/>
  <c r="AK91" i="25"/>
  <c r="AJ91" i="25"/>
  <c r="AI91" i="25"/>
  <c r="AH91" i="25"/>
  <c r="AG91" i="25"/>
  <c r="AF91" i="25"/>
  <c r="AE91" i="25"/>
  <c r="AD91" i="25"/>
  <c r="AC91" i="25"/>
  <c r="AB91" i="25"/>
  <c r="AA91" i="25"/>
  <c r="Z91" i="25"/>
  <c r="Y91" i="25"/>
  <c r="X91" i="25"/>
  <c r="W91" i="25"/>
  <c r="V91" i="25"/>
  <c r="U91" i="25"/>
  <c r="S91" i="25"/>
  <c r="R91" i="25"/>
  <c r="AK90" i="25"/>
  <c r="AJ90" i="25"/>
  <c r="AI90" i="25"/>
  <c r="AH90" i="25"/>
  <c r="AG90" i="25"/>
  <c r="AF90" i="25"/>
  <c r="AE90" i="25"/>
  <c r="AD90" i="25"/>
  <c r="AC90" i="25"/>
  <c r="AB90" i="25"/>
  <c r="AA90" i="25"/>
  <c r="Z90" i="25"/>
  <c r="Y90" i="25"/>
  <c r="X90" i="25"/>
  <c r="W90" i="25"/>
  <c r="V90" i="25"/>
  <c r="U90" i="25"/>
  <c r="R90" i="25"/>
  <c r="AK89" i="25"/>
  <c r="AJ89" i="25"/>
  <c r="AI89" i="25"/>
  <c r="AH89" i="25"/>
  <c r="AG89" i="25"/>
  <c r="AF89" i="25"/>
  <c r="AE89" i="25"/>
  <c r="AD89" i="25"/>
  <c r="AC89" i="25"/>
  <c r="AB89" i="25"/>
  <c r="AA89" i="25"/>
  <c r="Z89" i="25"/>
  <c r="Y89" i="25"/>
  <c r="X89" i="25"/>
  <c r="W89" i="25"/>
  <c r="V89" i="25"/>
  <c r="U89" i="25"/>
  <c r="S89" i="25"/>
  <c r="R89" i="25"/>
  <c r="AK88" i="25"/>
  <c r="AJ88" i="25"/>
  <c r="AI88" i="25"/>
  <c r="AH88" i="25"/>
  <c r="AG88" i="25"/>
  <c r="AF88" i="25"/>
  <c r="AE88" i="25"/>
  <c r="AD88" i="25"/>
  <c r="AC88" i="25"/>
  <c r="AB88" i="25"/>
  <c r="AA88" i="25"/>
  <c r="Z88" i="25"/>
  <c r="Y88" i="25"/>
  <c r="X88" i="25"/>
  <c r="W88" i="25"/>
  <c r="V88" i="25"/>
  <c r="U88" i="25"/>
  <c r="S88" i="25"/>
  <c r="R88" i="25"/>
  <c r="AK87" i="25"/>
  <c r="AJ87" i="25"/>
  <c r="AI87" i="25"/>
  <c r="AH87" i="25"/>
  <c r="AG87" i="25"/>
  <c r="AF87" i="25"/>
  <c r="AE87" i="25"/>
  <c r="AD87" i="25"/>
  <c r="AC87" i="25"/>
  <c r="AB87" i="25"/>
  <c r="AA87" i="25"/>
  <c r="Z87" i="25"/>
  <c r="Y87" i="25"/>
  <c r="X87" i="25"/>
  <c r="W87" i="25"/>
  <c r="V87" i="25"/>
  <c r="U87" i="25"/>
  <c r="S87" i="25"/>
  <c r="R87" i="25"/>
  <c r="AK86" i="25"/>
  <c r="AJ86" i="25"/>
  <c r="AI86" i="25"/>
  <c r="AH86" i="25"/>
  <c r="AG86" i="25"/>
  <c r="AF86" i="25"/>
  <c r="AE86" i="25"/>
  <c r="AD86" i="25"/>
  <c r="AC86" i="25"/>
  <c r="AB86" i="25"/>
  <c r="AA86" i="25"/>
  <c r="Z86" i="25"/>
  <c r="Y86" i="25"/>
  <c r="X86" i="25"/>
  <c r="W86" i="25"/>
  <c r="V86" i="25"/>
  <c r="U86" i="25"/>
  <c r="S86" i="25"/>
  <c r="R86" i="25"/>
  <c r="AK85" i="25"/>
  <c r="AJ85" i="25"/>
  <c r="AI85" i="25"/>
  <c r="AH85" i="25"/>
  <c r="AG85" i="25"/>
  <c r="AF85" i="25"/>
  <c r="AE85" i="25"/>
  <c r="AD85" i="25"/>
  <c r="AC85" i="25"/>
  <c r="AB85" i="25"/>
  <c r="AA85" i="25"/>
  <c r="Z85" i="25"/>
  <c r="Y85" i="25"/>
  <c r="X85" i="25"/>
  <c r="W85" i="25"/>
  <c r="V85" i="25"/>
  <c r="U85" i="25"/>
  <c r="S85" i="25"/>
  <c r="R85" i="25"/>
  <c r="AK84" i="25"/>
  <c r="AJ84" i="25"/>
  <c r="AI84" i="25"/>
  <c r="AH84" i="25"/>
  <c r="AG84" i="25"/>
  <c r="AF84" i="25"/>
  <c r="AE84" i="25"/>
  <c r="AD84" i="25"/>
  <c r="AC84" i="25"/>
  <c r="AB84" i="25"/>
  <c r="AA84" i="25"/>
  <c r="Z84" i="25"/>
  <c r="Y84" i="25"/>
  <c r="X84" i="25"/>
  <c r="W84" i="25"/>
  <c r="V84" i="25"/>
  <c r="U84" i="25"/>
  <c r="S84" i="25"/>
  <c r="R84" i="25"/>
  <c r="AK83" i="25"/>
  <c r="AJ83" i="25"/>
  <c r="AI83" i="25"/>
  <c r="AH83" i="25"/>
  <c r="AG83" i="25"/>
  <c r="AF83" i="25"/>
  <c r="AE83" i="25"/>
  <c r="AD83" i="25"/>
  <c r="AC83" i="25"/>
  <c r="AB83" i="25"/>
  <c r="AA83" i="25"/>
  <c r="Z83" i="25"/>
  <c r="Y83" i="25"/>
  <c r="X83" i="25"/>
  <c r="W83" i="25"/>
  <c r="V83" i="25"/>
  <c r="U83" i="25"/>
  <c r="S83" i="25"/>
  <c r="R83" i="25"/>
  <c r="AK82" i="25"/>
  <c r="AJ82" i="25"/>
  <c r="AI82" i="25"/>
  <c r="AH82" i="25"/>
  <c r="AG82" i="25"/>
  <c r="AF82" i="25"/>
  <c r="AE82" i="25"/>
  <c r="AD82" i="25"/>
  <c r="AC82" i="25"/>
  <c r="AB82" i="25"/>
  <c r="AA82" i="25"/>
  <c r="Z82" i="25"/>
  <c r="Y82" i="25"/>
  <c r="X82" i="25"/>
  <c r="W82" i="25"/>
  <c r="V82" i="25"/>
  <c r="U82" i="25"/>
  <c r="S82" i="25"/>
  <c r="R82" i="25"/>
  <c r="F82" i="25"/>
  <c r="AK81" i="25"/>
  <c r="AJ81" i="25"/>
  <c r="AI81" i="25"/>
  <c r="AH81" i="25"/>
  <c r="AG81" i="25"/>
  <c r="AF81" i="25"/>
  <c r="AE81" i="25"/>
  <c r="AD81" i="25"/>
  <c r="AC81" i="25"/>
  <c r="AB81" i="25"/>
  <c r="AA81" i="25"/>
  <c r="Z81" i="25"/>
  <c r="Y81" i="25"/>
  <c r="X81" i="25"/>
  <c r="W81" i="25"/>
  <c r="V81" i="25"/>
  <c r="U81" i="25"/>
  <c r="S81" i="25"/>
  <c r="R81" i="25"/>
  <c r="AK80" i="25"/>
  <c r="AJ80" i="25"/>
  <c r="AI80" i="25"/>
  <c r="AH80" i="25"/>
  <c r="AG80" i="25"/>
  <c r="AF80" i="25"/>
  <c r="AE80" i="25"/>
  <c r="AD80" i="25"/>
  <c r="AC80" i="25"/>
  <c r="AB80" i="25"/>
  <c r="AA80" i="25"/>
  <c r="Z80" i="25"/>
  <c r="Y80" i="25"/>
  <c r="X80" i="25"/>
  <c r="W80" i="25"/>
  <c r="V80" i="25"/>
  <c r="U80" i="25"/>
  <c r="S80" i="25"/>
  <c r="R80" i="25"/>
  <c r="AK79" i="25"/>
  <c r="AJ79" i="25"/>
  <c r="AI79" i="25"/>
  <c r="AH79" i="25"/>
  <c r="AG79" i="25"/>
  <c r="AF79" i="25"/>
  <c r="AE79" i="25"/>
  <c r="AD79" i="25"/>
  <c r="AC79" i="25"/>
  <c r="AB79" i="25"/>
  <c r="AA79" i="25"/>
  <c r="Z79" i="25"/>
  <c r="Y79" i="25"/>
  <c r="X79" i="25"/>
  <c r="W79" i="25"/>
  <c r="V79" i="25"/>
  <c r="U79" i="25"/>
  <c r="S79" i="25"/>
  <c r="R79" i="25"/>
  <c r="AK78" i="25"/>
  <c r="AJ78" i="25"/>
  <c r="AI78" i="25"/>
  <c r="AH78" i="25"/>
  <c r="AG78" i="25"/>
  <c r="AF78" i="25"/>
  <c r="AE78" i="25"/>
  <c r="AD78" i="25"/>
  <c r="AC78" i="25"/>
  <c r="AB78" i="25"/>
  <c r="AA78" i="25"/>
  <c r="Z78" i="25"/>
  <c r="Y78" i="25"/>
  <c r="X78" i="25"/>
  <c r="W78" i="25"/>
  <c r="V78" i="25"/>
  <c r="U78" i="25"/>
  <c r="R78" i="25"/>
  <c r="AK77" i="25"/>
  <c r="AJ77" i="25"/>
  <c r="AI77" i="25"/>
  <c r="AH77" i="25"/>
  <c r="AG77" i="25"/>
  <c r="AF77" i="25"/>
  <c r="AE77" i="25"/>
  <c r="AD77" i="25"/>
  <c r="AC77" i="25"/>
  <c r="AB77" i="25"/>
  <c r="AA77" i="25"/>
  <c r="Z77" i="25"/>
  <c r="Y77" i="25"/>
  <c r="X77" i="25"/>
  <c r="W77" i="25"/>
  <c r="V77" i="25"/>
  <c r="U77" i="25"/>
  <c r="R77" i="25"/>
  <c r="C77" i="25"/>
  <c r="AK76" i="25"/>
  <c r="AJ76" i="25"/>
  <c r="AI76" i="25"/>
  <c r="AH76" i="25"/>
  <c r="AG76" i="25"/>
  <c r="AF76" i="25"/>
  <c r="AE76" i="25"/>
  <c r="AD76" i="25"/>
  <c r="AC76" i="25"/>
  <c r="AB76" i="25"/>
  <c r="AA76" i="25"/>
  <c r="Z76" i="25"/>
  <c r="Y76" i="25"/>
  <c r="X76" i="25"/>
  <c r="W76" i="25"/>
  <c r="V76" i="25"/>
  <c r="U76" i="25"/>
  <c r="S76" i="25"/>
  <c r="R76" i="25"/>
  <c r="AK75" i="25"/>
  <c r="AJ75" i="25"/>
  <c r="AI75" i="25"/>
  <c r="AH75" i="25"/>
  <c r="AG75" i="25"/>
  <c r="AF75" i="25"/>
  <c r="AE75" i="25"/>
  <c r="AD75" i="25"/>
  <c r="AC75" i="25"/>
  <c r="AB75" i="25"/>
  <c r="AA75" i="25"/>
  <c r="Z75" i="25"/>
  <c r="Y75" i="25"/>
  <c r="X75" i="25"/>
  <c r="W75" i="25"/>
  <c r="V75" i="25"/>
  <c r="U75" i="25"/>
  <c r="S75" i="25"/>
  <c r="R75" i="25"/>
  <c r="AK74" i="25"/>
  <c r="AJ74" i="25"/>
  <c r="AI74" i="25"/>
  <c r="AH74" i="25"/>
  <c r="AG74" i="25"/>
  <c r="AF74" i="25"/>
  <c r="AE74" i="25"/>
  <c r="AD74" i="25"/>
  <c r="AC74" i="25"/>
  <c r="AB74" i="25"/>
  <c r="AA74" i="25"/>
  <c r="Z74" i="25"/>
  <c r="Y74" i="25"/>
  <c r="X74" i="25"/>
  <c r="W74" i="25"/>
  <c r="V74" i="25"/>
  <c r="U74" i="25"/>
  <c r="S74" i="25"/>
  <c r="R74" i="25"/>
  <c r="AK73" i="25"/>
  <c r="AJ73" i="25"/>
  <c r="AI73" i="25"/>
  <c r="AH73" i="25"/>
  <c r="AG73" i="25"/>
  <c r="AF73" i="25"/>
  <c r="AE73" i="25"/>
  <c r="AD73" i="25"/>
  <c r="AC73" i="25"/>
  <c r="AB73" i="25"/>
  <c r="AA73" i="25"/>
  <c r="Z73" i="25"/>
  <c r="Y73" i="25"/>
  <c r="X73" i="25"/>
  <c r="W73" i="25"/>
  <c r="V73" i="25"/>
  <c r="U73" i="25"/>
  <c r="S73" i="25"/>
  <c r="R73" i="25"/>
  <c r="AK72" i="25"/>
  <c r="AJ72" i="25"/>
  <c r="AI72" i="25"/>
  <c r="AH72" i="25"/>
  <c r="AG72" i="25"/>
  <c r="AF72" i="25"/>
  <c r="AE72" i="25"/>
  <c r="AD72" i="25"/>
  <c r="AC72" i="25"/>
  <c r="AB72" i="25"/>
  <c r="AA72" i="25"/>
  <c r="Z72" i="25"/>
  <c r="Y72" i="25"/>
  <c r="X72" i="25"/>
  <c r="W72" i="25"/>
  <c r="V72" i="25"/>
  <c r="U72" i="25"/>
  <c r="S72" i="25"/>
  <c r="R72" i="25"/>
  <c r="AK71" i="25"/>
  <c r="AJ71" i="25"/>
  <c r="AI71" i="25"/>
  <c r="AH71" i="25"/>
  <c r="AG71" i="25"/>
  <c r="AF71" i="25"/>
  <c r="AE71" i="25"/>
  <c r="AD71" i="25"/>
  <c r="AC71" i="25"/>
  <c r="AB71" i="25"/>
  <c r="AA71" i="25"/>
  <c r="Z71" i="25"/>
  <c r="Y71" i="25"/>
  <c r="X71" i="25"/>
  <c r="W71" i="25"/>
  <c r="V71" i="25"/>
  <c r="U71" i="25"/>
  <c r="S71" i="25"/>
  <c r="R71" i="25"/>
  <c r="AK70" i="25"/>
  <c r="AJ70" i="25"/>
  <c r="AI70" i="25"/>
  <c r="AH70" i="25"/>
  <c r="AG70" i="25"/>
  <c r="AF70" i="25"/>
  <c r="AE70" i="25"/>
  <c r="AD70" i="25"/>
  <c r="AC70" i="25"/>
  <c r="AB70" i="25"/>
  <c r="AA70" i="25"/>
  <c r="Z70" i="25"/>
  <c r="Y70" i="25"/>
  <c r="X70" i="25"/>
  <c r="W70" i="25"/>
  <c r="V70" i="25"/>
  <c r="U70" i="25"/>
  <c r="S70" i="25"/>
  <c r="R70" i="25"/>
  <c r="AK69" i="25"/>
  <c r="AJ69" i="25"/>
  <c r="AI69" i="25"/>
  <c r="AH69" i="25"/>
  <c r="AG69" i="25"/>
  <c r="AF69" i="25"/>
  <c r="AE69" i="25"/>
  <c r="AD69" i="25"/>
  <c r="AC69" i="25"/>
  <c r="AB69" i="25"/>
  <c r="AA69" i="25"/>
  <c r="Z69" i="25"/>
  <c r="Y69" i="25"/>
  <c r="X69" i="25"/>
  <c r="W69" i="25"/>
  <c r="V69" i="25"/>
  <c r="U69" i="25"/>
  <c r="S69" i="25"/>
  <c r="R69" i="25"/>
  <c r="AK68" i="25"/>
  <c r="AJ68" i="25"/>
  <c r="AI68" i="25"/>
  <c r="AH68" i="25"/>
  <c r="AG68" i="25"/>
  <c r="AF68" i="25"/>
  <c r="AE68" i="25"/>
  <c r="AD68" i="25"/>
  <c r="AC68" i="25"/>
  <c r="AB68" i="25"/>
  <c r="AA68" i="25"/>
  <c r="Z68" i="25"/>
  <c r="Y68" i="25"/>
  <c r="X68" i="25"/>
  <c r="W68" i="25"/>
  <c r="V68" i="25"/>
  <c r="U68" i="25"/>
  <c r="S68" i="25"/>
  <c r="R68" i="25"/>
  <c r="AK67" i="25"/>
  <c r="AJ67" i="25"/>
  <c r="AI67" i="25"/>
  <c r="AH67" i="25"/>
  <c r="AG67" i="25"/>
  <c r="AF67" i="25"/>
  <c r="AE67" i="25"/>
  <c r="AD67" i="25"/>
  <c r="AC67" i="25"/>
  <c r="AB67" i="25"/>
  <c r="AA67" i="25"/>
  <c r="Z67" i="25"/>
  <c r="Y67" i="25"/>
  <c r="X67" i="25"/>
  <c r="W67" i="25"/>
  <c r="V67" i="25"/>
  <c r="U67" i="25"/>
  <c r="S67" i="25"/>
  <c r="R67" i="25"/>
  <c r="AK66" i="25"/>
  <c r="AJ66" i="25"/>
  <c r="AI66" i="25"/>
  <c r="AH66" i="25"/>
  <c r="AG66" i="25"/>
  <c r="AF66" i="25"/>
  <c r="AE66" i="25"/>
  <c r="AD66" i="25"/>
  <c r="AC66" i="25"/>
  <c r="AB66" i="25"/>
  <c r="AA66" i="25"/>
  <c r="Z66" i="25"/>
  <c r="Y66" i="25"/>
  <c r="X66" i="25"/>
  <c r="W66" i="25"/>
  <c r="V66" i="25"/>
  <c r="U66" i="25"/>
  <c r="S66" i="25"/>
  <c r="R66" i="25"/>
  <c r="AK65" i="25"/>
  <c r="AJ65" i="25"/>
  <c r="AI65" i="25"/>
  <c r="AH65" i="25"/>
  <c r="AG65" i="25"/>
  <c r="AF65" i="25"/>
  <c r="AE65" i="25"/>
  <c r="AD65" i="25"/>
  <c r="AC65" i="25"/>
  <c r="AB65" i="25"/>
  <c r="AA65" i="25"/>
  <c r="Z65" i="25"/>
  <c r="Y65" i="25"/>
  <c r="X65" i="25"/>
  <c r="W65" i="25"/>
  <c r="V65" i="25"/>
  <c r="U65" i="25"/>
  <c r="S65" i="25"/>
  <c r="R65" i="25"/>
  <c r="AK64" i="25"/>
  <c r="AJ64" i="25"/>
  <c r="AI64" i="25"/>
  <c r="AH64" i="25"/>
  <c r="AG64" i="25"/>
  <c r="AF64" i="25"/>
  <c r="AE64" i="25"/>
  <c r="AD64" i="25"/>
  <c r="AC64" i="25"/>
  <c r="AB64" i="25"/>
  <c r="AA64" i="25"/>
  <c r="Z64" i="25"/>
  <c r="Y64" i="25"/>
  <c r="X64" i="25"/>
  <c r="W64" i="25"/>
  <c r="V64" i="25"/>
  <c r="U64" i="25"/>
  <c r="S64" i="25"/>
  <c r="R64" i="25"/>
  <c r="AK63" i="25"/>
  <c r="AJ63" i="25"/>
  <c r="AI63" i="25"/>
  <c r="AH63" i="25"/>
  <c r="AG63" i="25"/>
  <c r="AF63" i="25"/>
  <c r="AE63" i="25"/>
  <c r="AD63" i="25"/>
  <c r="AC63" i="25"/>
  <c r="AB63" i="25"/>
  <c r="AA63" i="25"/>
  <c r="Z63" i="25"/>
  <c r="Y63" i="25"/>
  <c r="X63" i="25"/>
  <c r="W63" i="25"/>
  <c r="V63" i="25"/>
  <c r="U63" i="25"/>
  <c r="S63" i="25"/>
  <c r="R63" i="25"/>
  <c r="AK62" i="25"/>
  <c r="AJ62" i="25"/>
  <c r="AI62" i="25"/>
  <c r="AH62" i="25"/>
  <c r="AG62" i="25"/>
  <c r="AF62" i="25"/>
  <c r="AE62" i="25"/>
  <c r="AD62" i="25"/>
  <c r="AC62" i="25"/>
  <c r="AB62" i="25"/>
  <c r="AA62" i="25"/>
  <c r="Z62" i="25"/>
  <c r="Y62" i="25"/>
  <c r="X62" i="25"/>
  <c r="W62" i="25"/>
  <c r="V62" i="25"/>
  <c r="U62" i="25"/>
  <c r="S62" i="25"/>
  <c r="R62" i="25"/>
  <c r="N62" i="25"/>
  <c r="J62" i="25"/>
  <c r="AK61" i="25"/>
  <c r="AJ61" i="25"/>
  <c r="AI61" i="25"/>
  <c r="AH61" i="25"/>
  <c r="AG61" i="25"/>
  <c r="AF61" i="25"/>
  <c r="AE61" i="25"/>
  <c r="AD61" i="25"/>
  <c r="AC61" i="25"/>
  <c r="AB61" i="25"/>
  <c r="AA61" i="25"/>
  <c r="Z61" i="25"/>
  <c r="Y61" i="25"/>
  <c r="X61" i="25"/>
  <c r="W61" i="25"/>
  <c r="V61" i="25"/>
  <c r="U61" i="25"/>
  <c r="S61" i="25"/>
  <c r="R61" i="25"/>
  <c r="AK60" i="25"/>
  <c r="AJ60" i="25"/>
  <c r="AI60" i="25"/>
  <c r="AH60" i="25"/>
  <c r="AG60" i="25"/>
  <c r="AF60" i="25"/>
  <c r="AE60" i="25"/>
  <c r="AD60" i="25"/>
  <c r="AC60" i="25"/>
  <c r="AB60" i="25"/>
  <c r="AA60" i="25"/>
  <c r="Z60" i="25"/>
  <c r="Y60" i="25"/>
  <c r="X60" i="25"/>
  <c r="W60" i="25"/>
  <c r="V60" i="25"/>
  <c r="U60" i="25"/>
  <c r="S60" i="25"/>
  <c r="R60" i="25"/>
  <c r="AK59" i="25"/>
  <c r="AJ59" i="25"/>
  <c r="AI59" i="25"/>
  <c r="AH59" i="25"/>
  <c r="AG59" i="25"/>
  <c r="AF59" i="25"/>
  <c r="AE59" i="25"/>
  <c r="AD59" i="25"/>
  <c r="AC59" i="25"/>
  <c r="AB59" i="25"/>
  <c r="AA59" i="25"/>
  <c r="Z59" i="25"/>
  <c r="Y59" i="25"/>
  <c r="X59" i="25"/>
  <c r="W59" i="25"/>
  <c r="V59" i="25"/>
  <c r="U59" i="25"/>
  <c r="S59" i="25"/>
  <c r="R59" i="25"/>
  <c r="AK58" i="25"/>
  <c r="AJ58" i="25"/>
  <c r="AI58" i="25"/>
  <c r="AH58" i="25"/>
  <c r="AG58" i="25"/>
  <c r="AF58" i="25"/>
  <c r="AE58" i="25"/>
  <c r="AD58" i="25"/>
  <c r="AC58" i="25"/>
  <c r="AB58" i="25"/>
  <c r="AA58" i="25"/>
  <c r="Z58" i="25"/>
  <c r="Y58" i="25"/>
  <c r="X58" i="25"/>
  <c r="W58" i="25"/>
  <c r="V58" i="25"/>
  <c r="U58" i="25"/>
  <c r="S58" i="25"/>
  <c r="R58" i="25"/>
  <c r="AK57" i="25"/>
  <c r="AJ57" i="25"/>
  <c r="AI57" i="25"/>
  <c r="AH57" i="25"/>
  <c r="AG57" i="25"/>
  <c r="AF57" i="25"/>
  <c r="AE57" i="25"/>
  <c r="AD57" i="25"/>
  <c r="AC57" i="25"/>
  <c r="AB57" i="25"/>
  <c r="AA57" i="25"/>
  <c r="Z57" i="25"/>
  <c r="Y57" i="25"/>
  <c r="X57" i="25"/>
  <c r="W57" i="25"/>
  <c r="V57" i="25"/>
  <c r="U57" i="25"/>
  <c r="S57" i="25"/>
  <c r="R57" i="25"/>
  <c r="I57" i="25"/>
  <c r="AK56" i="25"/>
  <c r="AJ56" i="25"/>
  <c r="AI56" i="25"/>
  <c r="AH56" i="25"/>
  <c r="AG56" i="25"/>
  <c r="AF56" i="25"/>
  <c r="AE56" i="25"/>
  <c r="AD56" i="25"/>
  <c r="AC56" i="25"/>
  <c r="AB56" i="25"/>
  <c r="AA56" i="25"/>
  <c r="Z56" i="25"/>
  <c r="Y56" i="25"/>
  <c r="X56" i="25"/>
  <c r="W56" i="25"/>
  <c r="V56" i="25"/>
  <c r="U56" i="25"/>
  <c r="S56" i="25"/>
  <c r="R56" i="25"/>
  <c r="AK55" i="25"/>
  <c r="AJ55" i="25"/>
  <c r="AI55" i="25"/>
  <c r="AH55" i="25"/>
  <c r="AG55" i="25"/>
  <c r="AF55" i="25"/>
  <c r="AE55" i="25"/>
  <c r="AD55" i="25"/>
  <c r="AC55" i="25"/>
  <c r="AB55" i="25"/>
  <c r="AA55" i="25"/>
  <c r="Z55" i="25"/>
  <c r="Y55" i="25"/>
  <c r="X55" i="25"/>
  <c r="W55" i="25"/>
  <c r="V55" i="25"/>
  <c r="U55" i="25"/>
  <c r="S55" i="25"/>
  <c r="R55" i="25"/>
  <c r="AK54" i="25"/>
  <c r="AJ54" i="25"/>
  <c r="AI54" i="25"/>
  <c r="AH54" i="25"/>
  <c r="AG54" i="25"/>
  <c r="AF54" i="25"/>
  <c r="AE54" i="25"/>
  <c r="AD54" i="25"/>
  <c r="AC54" i="25"/>
  <c r="AB54" i="25"/>
  <c r="AA54" i="25"/>
  <c r="Z54" i="25"/>
  <c r="Y54" i="25"/>
  <c r="X54" i="25"/>
  <c r="W54" i="25"/>
  <c r="V54" i="25"/>
  <c r="U54" i="25"/>
  <c r="S54" i="25"/>
  <c r="R54" i="25"/>
  <c r="AK53" i="25"/>
  <c r="AJ53" i="25"/>
  <c r="AI53" i="25"/>
  <c r="AH53" i="25"/>
  <c r="AG53" i="25"/>
  <c r="AF53" i="25"/>
  <c r="AE53" i="25"/>
  <c r="AD53" i="25"/>
  <c r="AC53" i="25"/>
  <c r="AB53" i="25"/>
  <c r="AA53" i="25"/>
  <c r="Z53" i="25"/>
  <c r="Y53" i="25"/>
  <c r="X53" i="25"/>
  <c r="W53" i="25"/>
  <c r="V53" i="25"/>
  <c r="U53" i="25"/>
  <c r="S53" i="25"/>
  <c r="R53" i="25"/>
  <c r="AK52" i="25"/>
  <c r="AJ52" i="25"/>
  <c r="AI52" i="25"/>
  <c r="AH52" i="25"/>
  <c r="AG52" i="25"/>
  <c r="AF52" i="25"/>
  <c r="AE52" i="25"/>
  <c r="AD52" i="25"/>
  <c r="AC52" i="25"/>
  <c r="AB52" i="25"/>
  <c r="AA52" i="25"/>
  <c r="Z52" i="25"/>
  <c r="Y52" i="25"/>
  <c r="X52" i="25"/>
  <c r="W52" i="25"/>
  <c r="V52" i="25"/>
  <c r="U52" i="25"/>
  <c r="S52" i="25"/>
  <c r="R52" i="25"/>
  <c r="J52" i="25"/>
  <c r="AK51" i="25"/>
  <c r="AJ51" i="25"/>
  <c r="AI51" i="25"/>
  <c r="AH51" i="25"/>
  <c r="AG51" i="25"/>
  <c r="AF51" i="25"/>
  <c r="AE51" i="25"/>
  <c r="AD51" i="25"/>
  <c r="AC51" i="25"/>
  <c r="AB51" i="25"/>
  <c r="AA51" i="25"/>
  <c r="Z51" i="25"/>
  <c r="Y51" i="25"/>
  <c r="X51" i="25"/>
  <c r="W51" i="25"/>
  <c r="V51" i="25"/>
  <c r="U51" i="25"/>
  <c r="S51" i="25"/>
  <c r="R51" i="25"/>
  <c r="AK50" i="25"/>
  <c r="AJ50" i="25"/>
  <c r="AI50" i="25"/>
  <c r="AH50" i="25"/>
  <c r="AG50" i="25"/>
  <c r="AF50" i="25"/>
  <c r="AE50" i="25"/>
  <c r="AD50" i="25"/>
  <c r="AC50" i="25"/>
  <c r="AB50" i="25"/>
  <c r="AA50" i="25"/>
  <c r="Z50" i="25"/>
  <c r="Y50" i="25"/>
  <c r="X50" i="25"/>
  <c r="W50" i="25"/>
  <c r="V50" i="25"/>
  <c r="U50" i="25"/>
  <c r="S50" i="25"/>
  <c r="R50" i="25"/>
  <c r="AK49" i="25"/>
  <c r="AJ49" i="25"/>
  <c r="AI49" i="25"/>
  <c r="AH49" i="25"/>
  <c r="AG49" i="25"/>
  <c r="AF49" i="25"/>
  <c r="AE49" i="25"/>
  <c r="AD49" i="25"/>
  <c r="AC49" i="25"/>
  <c r="AB49" i="25"/>
  <c r="AA49" i="25"/>
  <c r="Z49" i="25"/>
  <c r="Y49" i="25"/>
  <c r="X49" i="25"/>
  <c r="W49" i="25"/>
  <c r="V49" i="25"/>
  <c r="U49" i="25"/>
  <c r="S49" i="25"/>
  <c r="R49" i="25"/>
  <c r="AK48" i="25"/>
  <c r="AJ48" i="25"/>
  <c r="AI48" i="25"/>
  <c r="AH48" i="25"/>
  <c r="AG48" i="25"/>
  <c r="AF48" i="25"/>
  <c r="AE48" i="25"/>
  <c r="AD48" i="25"/>
  <c r="AC48" i="25"/>
  <c r="AB48" i="25"/>
  <c r="AA48" i="25"/>
  <c r="Z48" i="25"/>
  <c r="Y48" i="25"/>
  <c r="X48" i="25"/>
  <c r="W48" i="25"/>
  <c r="V48" i="25"/>
  <c r="U48" i="25"/>
  <c r="S48" i="25"/>
  <c r="R48" i="25"/>
  <c r="K48" i="25"/>
  <c r="AK47" i="25"/>
  <c r="AJ47" i="25"/>
  <c r="AI47" i="25"/>
  <c r="AH47" i="25"/>
  <c r="AG47" i="25"/>
  <c r="AF47" i="25"/>
  <c r="AE47" i="25"/>
  <c r="AD47" i="25"/>
  <c r="AC47" i="25"/>
  <c r="AB47" i="25"/>
  <c r="AA47" i="25"/>
  <c r="Z47" i="25"/>
  <c r="Y47" i="25"/>
  <c r="X47" i="25"/>
  <c r="W47" i="25"/>
  <c r="V47" i="25"/>
  <c r="U47" i="25"/>
  <c r="S47" i="25"/>
  <c r="R47" i="25"/>
  <c r="AK46" i="25"/>
  <c r="AJ46" i="25"/>
  <c r="AI46" i="25"/>
  <c r="AH46" i="25"/>
  <c r="AG46" i="25"/>
  <c r="AF46" i="25"/>
  <c r="AE46" i="25"/>
  <c r="AD46" i="25"/>
  <c r="AC46" i="25"/>
  <c r="AB46" i="25"/>
  <c r="AA46" i="25"/>
  <c r="Z46" i="25"/>
  <c r="Y46" i="25"/>
  <c r="X46" i="25"/>
  <c r="W46" i="25"/>
  <c r="V46" i="25"/>
  <c r="U46" i="25"/>
  <c r="S46" i="25"/>
  <c r="R46" i="25"/>
  <c r="AK45" i="25"/>
  <c r="AJ45" i="25"/>
  <c r="AI45" i="25"/>
  <c r="AH45" i="25"/>
  <c r="AG45" i="25"/>
  <c r="AF45" i="25"/>
  <c r="AE45" i="25"/>
  <c r="AD45" i="25"/>
  <c r="AC45" i="25"/>
  <c r="AB45" i="25"/>
  <c r="AA45" i="25"/>
  <c r="Z45" i="25"/>
  <c r="Y45" i="25"/>
  <c r="X45" i="25"/>
  <c r="W45" i="25"/>
  <c r="V45" i="25"/>
  <c r="U45" i="25"/>
  <c r="S45" i="25"/>
  <c r="R45" i="25"/>
  <c r="AK44" i="25"/>
  <c r="AJ44" i="25"/>
  <c r="AI44" i="25"/>
  <c r="AH44" i="25"/>
  <c r="AG44" i="25"/>
  <c r="AF44" i="25"/>
  <c r="AE44" i="25"/>
  <c r="AD44" i="25"/>
  <c r="AC44" i="25"/>
  <c r="AB44" i="25"/>
  <c r="AA44" i="25"/>
  <c r="Z44" i="25"/>
  <c r="Y44" i="25"/>
  <c r="X44" i="25"/>
  <c r="W44" i="25"/>
  <c r="V44" i="25"/>
  <c r="U44" i="25"/>
  <c r="S44" i="25"/>
  <c r="R44" i="25"/>
  <c r="AK43" i="25"/>
  <c r="AJ43" i="25"/>
  <c r="AI43" i="25"/>
  <c r="AH43" i="25"/>
  <c r="AG43" i="25"/>
  <c r="AF43" i="25"/>
  <c r="AE43" i="25"/>
  <c r="AD43" i="25"/>
  <c r="AC43" i="25"/>
  <c r="AB43" i="25"/>
  <c r="AA43" i="25"/>
  <c r="Z43" i="25"/>
  <c r="Y43" i="25"/>
  <c r="X43" i="25"/>
  <c r="W43" i="25"/>
  <c r="V43" i="25"/>
  <c r="U43" i="25"/>
  <c r="S43" i="25"/>
  <c r="R43" i="25"/>
  <c r="AK42" i="25"/>
  <c r="AJ42" i="25"/>
  <c r="AI42" i="25"/>
  <c r="AH42" i="25"/>
  <c r="AG42" i="25"/>
  <c r="AF42" i="25"/>
  <c r="AE42" i="25"/>
  <c r="AD42" i="25"/>
  <c r="AC42" i="25"/>
  <c r="AB42" i="25"/>
  <c r="AA42" i="25"/>
  <c r="Z42" i="25"/>
  <c r="Y42" i="25"/>
  <c r="X42" i="25"/>
  <c r="W42" i="25"/>
  <c r="V42" i="25"/>
  <c r="U42" i="25"/>
  <c r="S42" i="25"/>
  <c r="R42" i="25"/>
  <c r="AK41" i="25"/>
  <c r="AJ41" i="25"/>
  <c r="AI41" i="25"/>
  <c r="AH41" i="25"/>
  <c r="AG41" i="25"/>
  <c r="AF41" i="25"/>
  <c r="AE41" i="25"/>
  <c r="AD41" i="25"/>
  <c r="AC41" i="25"/>
  <c r="AB41" i="25"/>
  <c r="AA41" i="25"/>
  <c r="Z41" i="25"/>
  <c r="Y41" i="25"/>
  <c r="X41" i="25"/>
  <c r="W41" i="25"/>
  <c r="V41" i="25"/>
  <c r="U41" i="25"/>
  <c r="S41" i="25"/>
  <c r="R41" i="25"/>
  <c r="AK40" i="25"/>
  <c r="AJ40" i="25"/>
  <c r="AI40" i="25"/>
  <c r="AH40" i="25"/>
  <c r="AG40" i="25"/>
  <c r="AF40" i="25"/>
  <c r="AE40" i="25"/>
  <c r="AD40" i="25"/>
  <c r="AC40" i="25"/>
  <c r="AB40" i="25"/>
  <c r="AA40" i="25"/>
  <c r="Z40" i="25"/>
  <c r="Y40" i="25"/>
  <c r="X40" i="25"/>
  <c r="W40" i="25"/>
  <c r="V40" i="25"/>
  <c r="U40" i="25"/>
  <c r="S40" i="25"/>
  <c r="R40" i="25"/>
  <c r="AK39" i="25"/>
  <c r="AJ39" i="25"/>
  <c r="AI39" i="25"/>
  <c r="AH39" i="25"/>
  <c r="AG39" i="25"/>
  <c r="AF39" i="25"/>
  <c r="AE39" i="25"/>
  <c r="AD39" i="25"/>
  <c r="AC39" i="25"/>
  <c r="AB39" i="25"/>
  <c r="AA39" i="25"/>
  <c r="Z39" i="25"/>
  <c r="Y39" i="25"/>
  <c r="X39" i="25"/>
  <c r="W39" i="25"/>
  <c r="V39" i="25"/>
  <c r="U39" i="25"/>
  <c r="S39" i="25"/>
  <c r="R39" i="25"/>
  <c r="AK38" i="25"/>
  <c r="AJ38" i="25"/>
  <c r="AI38" i="25"/>
  <c r="AH38" i="25"/>
  <c r="AG38" i="25"/>
  <c r="AF38" i="25"/>
  <c r="AE38" i="25"/>
  <c r="AD38" i="25"/>
  <c r="AC38" i="25"/>
  <c r="AB38" i="25"/>
  <c r="AA38" i="25"/>
  <c r="Z38" i="25"/>
  <c r="Y38" i="25"/>
  <c r="X38" i="25"/>
  <c r="W38" i="25"/>
  <c r="V38" i="25"/>
  <c r="U38" i="25"/>
  <c r="S38" i="25"/>
  <c r="R38" i="25"/>
  <c r="AK37" i="25"/>
  <c r="AJ37" i="25"/>
  <c r="AI37" i="25"/>
  <c r="AH37" i="25"/>
  <c r="AG37" i="25"/>
  <c r="AF37" i="25"/>
  <c r="AE37" i="25"/>
  <c r="AD37" i="25"/>
  <c r="AC37" i="25"/>
  <c r="AB37" i="25"/>
  <c r="AA37" i="25"/>
  <c r="Z37" i="25"/>
  <c r="Y37" i="25"/>
  <c r="X37" i="25"/>
  <c r="W37" i="25"/>
  <c r="V37" i="25"/>
  <c r="U37" i="25"/>
  <c r="S37" i="25"/>
  <c r="R37" i="25"/>
  <c r="AK36" i="25"/>
  <c r="AJ36" i="25"/>
  <c r="AI36" i="25"/>
  <c r="AH36" i="25"/>
  <c r="AG36" i="25"/>
  <c r="AF36" i="25"/>
  <c r="AE36" i="25"/>
  <c r="AD36" i="25"/>
  <c r="AC36" i="25"/>
  <c r="AB36" i="25"/>
  <c r="AA36" i="25"/>
  <c r="Z36" i="25"/>
  <c r="Y36" i="25"/>
  <c r="X36" i="25"/>
  <c r="W36" i="25"/>
  <c r="V36" i="25"/>
  <c r="U36" i="25"/>
  <c r="S36" i="25"/>
  <c r="R36" i="25"/>
  <c r="AK35" i="25"/>
  <c r="AJ35" i="25"/>
  <c r="AI35" i="25"/>
  <c r="AH35" i="25"/>
  <c r="AG35" i="25"/>
  <c r="AF35" i="25"/>
  <c r="AE35" i="25"/>
  <c r="AD35" i="25"/>
  <c r="AC35" i="25"/>
  <c r="AB35" i="25"/>
  <c r="AA35" i="25"/>
  <c r="Z35" i="25"/>
  <c r="Y35" i="25"/>
  <c r="X35" i="25"/>
  <c r="W35" i="25"/>
  <c r="V35" i="25"/>
  <c r="U35" i="25"/>
  <c r="S35" i="25"/>
  <c r="R35" i="25"/>
  <c r="AK34" i="25"/>
  <c r="AJ34" i="25"/>
  <c r="AI34" i="25"/>
  <c r="AH34" i="25"/>
  <c r="AG34" i="25"/>
  <c r="AF34" i="25"/>
  <c r="AE34" i="25"/>
  <c r="AD34" i="25"/>
  <c r="AC34" i="25"/>
  <c r="AB34" i="25"/>
  <c r="AA34" i="25"/>
  <c r="Z34" i="25"/>
  <c r="Y34" i="25"/>
  <c r="X34" i="25"/>
  <c r="W34" i="25"/>
  <c r="V34" i="25"/>
  <c r="U34" i="25"/>
  <c r="S34" i="25"/>
  <c r="R34" i="25"/>
  <c r="AK33" i="25"/>
  <c r="AJ33" i="25"/>
  <c r="AI33" i="25"/>
  <c r="AH33" i="25"/>
  <c r="AG33" i="25"/>
  <c r="AF33" i="25"/>
  <c r="AE33" i="25"/>
  <c r="AD33" i="25"/>
  <c r="AC33" i="25"/>
  <c r="AB33" i="25"/>
  <c r="AA33" i="25"/>
  <c r="Z33" i="25"/>
  <c r="Y33" i="25"/>
  <c r="X33" i="25"/>
  <c r="W33" i="25"/>
  <c r="V33" i="25"/>
  <c r="U33" i="25"/>
  <c r="S33" i="25"/>
  <c r="R33" i="25"/>
  <c r="AK32" i="25"/>
  <c r="AJ32" i="25"/>
  <c r="AI32" i="25"/>
  <c r="AH32" i="25"/>
  <c r="AG32" i="25"/>
  <c r="AF32" i="25"/>
  <c r="AE32" i="25"/>
  <c r="AD32" i="25"/>
  <c r="AC32" i="25"/>
  <c r="AB32" i="25"/>
  <c r="AA32" i="25"/>
  <c r="Z32" i="25"/>
  <c r="Y32" i="25"/>
  <c r="X32" i="25"/>
  <c r="W32" i="25"/>
  <c r="V32" i="25"/>
  <c r="U32" i="25"/>
  <c r="S32" i="25"/>
  <c r="R32" i="25"/>
  <c r="AK31" i="25"/>
  <c r="AJ31" i="25"/>
  <c r="AI31" i="25"/>
  <c r="AH31" i="25"/>
  <c r="AG31" i="25"/>
  <c r="AF31" i="25"/>
  <c r="AE31" i="25"/>
  <c r="AD31" i="25"/>
  <c r="AC31" i="25"/>
  <c r="AB31" i="25"/>
  <c r="AA31" i="25"/>
  <c r="Z31" i="25"/>
  <c r="Y31" i="25"/>
  <c r="X31" i="25"/>
  <c r="W31" i="25"/>
  <c r="V31" i="25"/>
  <c r="U31" i="25"/>
  <c r="S31" i="25"/>
  <c r="R31" i="25"/>
  <c r="K31" i="25"/>
  <c r="AP30" i="25"/>
  <c r="AK30" i="25"/>
  <c r="AJ30" i="25"/>
  <c r="AI30" i="25"/>
  <c r="AH30" i="25"/>
  <c r="AG30" i="25"/>
  <c r="AF30" i="25"/>
  <c r="AE30" i="25"/>
  <c r="AD30" i="25"/>
  <c r="AC30" i="25"/>
  <c r="AB30" i="25"/>
  <c r="AA30" i="25"/>
  <c r="Z30" i="25"/>
  <c r="Y30" i="25"/>
  <c r="X30" i="25"/>
  <c r="W30" i="25"/>
  <c r="V30" i="25"/>
  <c r="U30" i="25"/>
  <c r="S30" i="25"/>
  <c r="R30" i="25"/>
  <c r="AP29" i="25"/>
  <c r="AO29" i="25"/>
  <c r="AK29" i="25"/>
  <c r="AJ29" i="25"/>
  <c r="AI29" i="25"/>
  <c r="AH29" i="25"/>
  <c r="AG29" i="25"/>
  <c r="AF29" i="25"/>
  <c r="AE29" i="25"/>
  <c r="AD29" i="25"/>
  <c r="AC29" i="25"/>
  <c r="AB29" i="25"/>
  <c r="AA29" i="25"/>
  <c r="Z29" i="25"/>
  <c r="Y29" i="25"/>
  <c r="X29" i="25"/>
  <c r="W29" i="25"/>
  <c r="V29" i="25"/>
  <c r="U29" i="25"/>
  <c r="S29" i="25"/>
  <c r="R29" i="25"/>
  <c r="AK28" i="25"/>
  <c r="AJ28" i="25"/>
  <c r="AI28" i="25"/>
  <c r="AH28" i="25"/>
  <c r="AG28" i="25"/>
  <c r="AF28" i="25"/>
  <c r="AE28" i="25"/>
  <c r="AD28" i="25"/>
  <c r="AC28" i="25"/>
  <c r="AB28" i="25"/>
  <c r="AA28" i="25"/>
  <c r="Z28" i="25"/>
  <c r="Y28" i="25"/>
  <c r="X28" i="25"/>
  <c r="W28" i="25"/>
  <c r="V28" i="25"/>
  <c r="U28" i="25"/>
  <c r="R28" i="25"/>
  <c r="AK27" i="25"/>
  <c r="AJ27" i="25"/>
  <c r="AI27" i="25"/>
  <c r="AH27" i="25"/>
  <c r="AG27" i="25"/>
  <c r="AF27" i="25"/>
  <c r="AE27" i="25"/>
  <c r="AD27" i="25"/>
  <c r="AC27" i="25"/>
  <c r="AB27" i="25"/>
  <c r="AA27" i="25"/>
  <c r="Z27" i="25"/>
  <c r="Y27" i="25"/>
  <c r="X27" i="25"/>
  <c r="W27" i="25"/>
  <c r="V27" i="25"/>
  <c r="U27" i="25"/>
  <c r="S27" i="25"/>
  <c r="R27" i="25"/>
  <c r="AP26" i="25"/>
  <c r="AO26" i="25"/>
  <c r="AK26" i="25"/>
  <c r="AJ26" i="25"/>
  <c r="AI26" i="25"/>
  <c r="AH26" i="25"/>
  <c r="AG26" i="25"/>
  <c r="AF26" i="25"/>
  <c r="AE26" i="25"/>
  <c r="AD26" i="25"/>
  <c r="AC26" i="25"/>
  <c r="AB26" i="25"/>
  <c r="AA26" i="25"/>
  <c r="Z26" i="25"/>
  <c r="Y26" i="25"/>
  <c r="X26" i="25"/>
  <c r="W26" i="25"/>
  <c r="V26" i="25"/>
  <c r="U26" i="25"/>
  <c r="S26" i="25"/>
  <c r="R26" i="25"/>
  <c r="AP25" i="25"/>
  <c r="AO25" i="25"/>
  <c r="AK25" i="25"/>
  <c r="AJ25" i="25"/>
  <c r="AI25" i="25"/>
  <c r="AH25" i="25"/>
  <c r="AG25" i="25"/>
  <c r="AF25" i="25"/>
  <c r="AE25" i="25"/>
  <c r="AD25" i="25"/>
  <c r="AC25" i="25"/>
  <c r="AB25" i="25"/>
  <c r="AA25" i="25"/>
  <c r="Z25" i="25"/>
  <c r="Y25" i="25"/>
  <c r="X25" i="25"/>
  <c r="W25" i="25"/>
  <c r="V25" i="25"/>
  <c r="U25" i="25"/>
  <c r="S25" i="25"/>
  <c r="R25" i="25"/>
  <c r="AP24" i="25"/>
  <c r="AO24" i="25"/>
  <c r="AK24" i="25"/>
  <c r="AJ24" i="25"/>
  <c r="AI24" i="25"/>
  <c r="AH24" i="25"/>
  <c r="AG24" i="25"/>
  <c r="AF24" i="25"/>
  <c r="AE24" i="25"/>
  <c r="AD24" i="25"/>
  <c r="AC24" i="25"/>
  <c r="AB24" i="25"/>
  <c r="AA24" i="25"/>
  <c r="Z24" i="25"/>
  <c r="Y24" i="25"/>
  <c r="X24" i="25"/>
  <c r="W24" i="25"/>
  <c r="V24" i="25"/>
  <c r="U24" i="25"/>
  <c r="S24" i="25"/>
  <c r="R24" i="25"/>
  <c r="AK23" i="25"/>
  <c r="AJ23" i="25"/>
  <c r="AI23" i="25"/>
  <c r="AH23" i="25"/>
  <c r="AG23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S23" i="25"/>
  <c r="R23" i="25"/>
  <c r="AK22" i="25"/>
  <c r="AJ22" i="25"/>
  <c r="AI22" i="25"/>
  <c r="AH22" i="25"/>
  <c r="AG22" i="25"/>
  <c r="AF22" i="25"/>
  <c r="AE22" i="25"/>
  <c r="AD22" i="25"/>
  <c r="AC22" i="25"/>
  <c r="AB22" i="25"/>
  <c r="AA22" i="25"/>
  <c r="Z22" i="25"/>
  <c r="Y22" i="25"/>
  <c r="X22" i="25"/>
  <c r="W22" i="25"/>
  <c r="V22" i="25"/>
  <c r="U22" i="25"/>
  <c r="S22" i="25"/>
  <c r="R22" i="25"/>
  <c r="O22" i="25"/>
  <c r="AR21" i="25"/>
  <c r="AN21" i="25"/>
  <c r="AK21" i="25"/>
  <c r="AJ21" i="25"/>
  <c r="AI21" i="25"/>
  <c r="AH21" i="25"/>
  <c r="AG21" i="25"/>
  <c r="AF21" i="25"/>
  <c r="AE21" i="25"/>
  <c r="AD21" i="25"/>
  <c r="AC21" i="25"/>
  <c r="AB21" i="25"/>
  <c r="AA21" i="25"/>
  <c r="Z21" i="25"/>
  <c r="Y21" i="25"/>
  <c r="X21" i="25"/>
  <c r="W21" i="25"/>
  <c r="V21" i="25"/>
  <c r="U21" i="25"/>
  <c r="S21" i="25"/>
  <c r="R21" i="25"/>
  <c r="AK20" i="25"/>
  <c r="AJ20" i="25"/>
  <c r="AI20" i="25"/>
  <c r="AH20" i="25"/>
  <c r="AG20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S20" i="25"/>
  <c r="R20" i="25"/>
  <c r="AY19" i="25"/>
  <c r="AW19" i="25"/>
  <c r="AU19" i="25"/>
  <c r="AT19" i="25"/>
  <c r="AS19" i="25"/>
  <c r="AR19" i="25"/>
  <c r="AQ19" i="25"/>
  <c r="AP19" i="25"/>
  <c r="AO19" i="25"/>
  <c r="AN19" i="25"/>
  <c r="AK19" i="25"/>
  <c r="AJ19" i="25"/>
  <c r="AI19" i="25"/>
  <c r="AH19" i="25"/>
  <c r="AG19" i="25"/>
  <c r="AF19" i="25"/>
  <c r="AE19" i="25"/>
  <c r="AD19" i="25"/>
  <c r="AC19" i="25"/>
  <c r="AB19" i="25"/>
  <c r="AA19" i="25"/>
  <c r="Z19" i="25"/>
  <c r="Y19" i="25"/>
  <c r="X19" i="25"/>
  <c r="W19" i="25"/>
  <c r="V19" i="25"/>
  <c r="U19" i="25"/>
  <c r="S19" i="25"/>
  <c r="R19" i="25"/>
  <c r="K19" i="25"/>
  <c r="AY18" i="25"/>
  <c r="AW18" i="25"/>
  <c r="AU18" i="25"/>
  <c r="AT18" i="25"/>
  <c r="AS18" i="25"/>
  <c r="AR18" i="25"/>
  <c r="AO18" i="25"/>
  <c r="AN18" i="25"/>
  <c r="AK18" i="25"/>
  <c r="AJ18" i="25"/>
  <c r="AI18" i="25"/>
  <c r="AH18" i="25"/>
  <c r="AG18" i="25"/>
  <c r="AF18" i="25"/>
  <c r="AE18" i="25"/>
  <c r="AD18" i="25"/>
  <c r="AC18" i="25"/>
  <c r="AB18" i="25"/>
  <c r="AA18" i="25"/>
  <c r="Z18" i="25"/>
  <c r="Y18" i="25"/>
  <c r="X18" i="25"/>
  <c r="W18" i="25"/>
  <c r="V18" i="25"/>
  <c r="U18" i="25"/>
  <c r="S18" i="25"/>
  <c r="R18" i="25"/>
  <c r="AY17" i="25"/>
  <c r="AW17" i="25"/>
  <c r="AU17" i="25"/>
  <c r="AT17" i="25"/>
  <c r="AS17" i="25"/>
  <c r="AR17" i="25"/>
  <c r="AO17" i="25"/>
  <c r="AN17" i="25"/>
  <c r="AK17" i="25"/>
  <c r="AJ17" i="25"/>
  <c r="AI17" i="25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S17" i="25"/>
  <c r="R17" i="25"/>
  <c r="AY16" i="25"/>
  <c r="AW16" i="25"/>
  <c r="AU16" i="25"/>
  <c r="AT16" i="25"/>
  <c r="AS16" i="25"/>
  <c r="AR16" i="25"/>
  <c r="AP16" i="25"/>
  <c r="AO16" i="25"/>
  <c r="AN16" i="25"/>
  <c r="AK16" i="25"/>
  <c r="AJ16" i="25"/>
  <c r="AI16" i="25"/>
  <c r="AH16" i="25"/>
  <c r="AG16" i="25"/>
  <c r="AF16" i="25"/>
  <c r="AE16" i="25"/>
  <c r="AD16" i="25"/>
  <c r="AC16" i="25"/>
  <c r="AB16" i="25"/>
  <c r="AA16" i="25"/>
  <c r="Z16" i="25"/>
  <c r="Y16" i="25"/>
  <c r="X16" i="25"/>
  <c r="W16" i="25"/>
  <c r="V16" i="25"/>
  <c r="U16" i="25"/>
  <c r="S16" i="25"/>
  <c r="R16" i="25"/>
  <c r="AY15" i="25"/>
  <c r="AW15" i="25"/>
  <c r="AU15" i="25"/>
  <c r="AT15" i="25"/>
  <c r="AS15" i="25"/>
  <c r="AR15" i="25"/>
  <c r="AP15" i="25"/>
  <c r="AO15" i="25"/>
  <c r="AN15" i="25"/>
  <c r="AK15" i="25"/>
  <c r="AJ15" i="25"/>
  <c r="AI15" i="25"/>
  <c r="AH15" i="25"/>
  <c r="AG15" i="25"/>
  <c r="AF15" i="25"/>
  <c r="AE15" i="25"/>
  <c r="AD15" i="25"/>
  <c r="AC15" i="25"/>
  <c r="AB15" i="25"/>
  <c r="AA15" i="25"/>
  <c r="Z15" i="25"/>
  <c r="Y15" i="25"/>
  <c r="X15" i="25"/>
  <c r="W15" i="25"/>
  <c r="V15" i="25"/>
  <c r="U15" i="25"/>
  <c r="S15" i="25"/>
  <c r="R15" i="25"/>
  <c r="AR14" i="25"/>
  <c r="AP14" i="25"/>
  <c r="AO14" i="25"/>
  <c r="AN14" i="25"/>
  <c r="AK14" i="25"/>
  <c r="AJ14" i="25"/>
  <c r="AI14" i="25"/>
  <c r="AH14" i="25"/>
  <c r="AG14" i="25"/>
  <c r="AF14" i="25"/>
  <c r="AE14" i="25"/>
  <c r="AD14" i="25"/>
  <c r="AC14" i="25"/>
  <c r="AB14" i="25"/>
  <c r="AA14" i="25"/>
  <c r="Z14" i="25"/>
  <c r="Y14" i="25"/>
  <c r="X14" i="25"/>
  <c r="W14" i="25"/>
  <c r="V14" i="25"/>
  <c r="U14" i="25"/>
  <c r="R14" i="25"/>
  <c r="AY13" i="25"/>
  <c r="AW13" i="25"/>
  <c r="AU13" i="25"/>
  <c r="AT13" i="25"/>
  <c r="AS13" i="25"/>
  <c r="AR13" i="25"/>
  <c r="AP13" i="25"/>
  <c r="AO13" i="25"/>
  <c r="AN13" i="25"/>
  <c r="AK13" i="25"/>
  <c r="AJ13" i="25"/>
  <c r="AI13" i="25"/>
  <c r="AH13" i="25"/>
  <c r="AG13" i="25"/>
  <c r="AF13" i="25"/>
  <c r="AE13" i="25"/>
  <c r="AD13" i="25"/>
  <c r="AC13" i="25"/>
  <c r="AB13" i="25"/>
  <c r="AA13" i="25"/>
  <c r="Z13" i="25"/>
  <c r="Y13" i="25"/>
  <c r="X13" i="25"/>
  <c r="W13" i="25"/>
  <c r="V13" i="25"/>
  <c r="U13" i="25"/>
  <c r="S13" i="25"/>
  <c r="R13" i="25"/>
  <c r="K13" i="25"/>
  <c r="J13" i="25"/>
  <c r="AY12" i="25"/>
  <c r="AW12" i="25"/>
  <c r="AU12" i="25"/>
  <c r="AT12" i="25"/>
  <c r="AS12" i="25"/>
  <c r="AR12" i="25"/>
  <c r="AP12" i="25"/>
  <c r="AO12" i="25"/>
  <c r="AN12" i="25"/>
  <c r="AK12" i="25"/>
  <c r="AJ12" i="25"/>
  <c r="AI12" i="25"/>
  <c r="AH12" i="25"/>
  <c r="AG12" i="25"/>
  <c r="AF12" i="25"/>
  <c r="AE12" i="25"/>
  <c r="AD12" i="25"/>
  <c r="AC12" i="25"/>
  <c r="AB12" i="25"/>
  <c r="AA12" i="25"/>
  <c r="Z12" i="25"/>
  <c r="Y12" i="25"/>
  <c r="X12" i="25"/>
  <c r="W12" i="25"/>
  <c r="V12" i="25"/>
  <c r="U12" i="25"/>
  <c r="S12" i="25"/>
  <c r="R12" i="25"/>
  <c r="AY11" i="25"/>
  <c r="AW11" i="25"/>
  <c r="AU11" i="25"/>
  <c r="AT11" i="25"/>
  <c r="AS11" i="25"/>
  <c r="AR11" i="25"/>
  <c r="AP11" i="25"/>
  <c r="AO11" i="25"/>
  <c r="AN11" i="25"/>
  <c r="AK11" i="25"/>
  <c r="AJ11" i="25"/>
  <c r="AI11" i="25"/>
  <c r="AH11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S11" i="25"/>
  <c r="R11" i="25"/>
  <c r="AY10" i="25"/>
  <c r="AW10" i="25"/>
  <c r="AU10" i="25"/>
  <c r="AT10" i="25"/>
  <c r="AS10" i="25"/>
  <c r="AR10" i="25"/>
  <c r="AP10" i="25"/>
  <c r="AO10" i="25"/>
  <c r="AN10" i="25"/>
  <c r="AK10" i="25"/>
  <c r="AJ10" i="25"/>
  <c r="AI10" i="25"/>
  <c r="AH10" i="25"/>
  <c r="AG10" i="25"/>
  <c r="AF10" i="25"/>
  <c r="AE10" i="25"/>
  <c r="AD10" i="25"/>
  <c r="AC10" i="25"/>
  <c r="AB10" i="25"/>
  <c r="AA10" i="25"/>
  <c r="Z10" i="25"/>
  <c r="Y10" i="25"/>
  <c r="X10" i="25"/>
  <c r="W10" i="25"/>
  <c r="V10" i="25"/>
  <c r="U10" i="25"/>
  <c r="S10" i="25"/>
  <c r="R10" i="25"/>
  <c r="AY9" i="25"/>
  <c r="AW9" i="25"/>
  <c r="AU9" i="25"/>
  <c r="AT9" i="25"/>
  <c r="AS9" i="25"/>
  <c r="AR9" i="25"/>
  <c r="AP9" i="25"/>
  <c r="AO9" i="25"/>
  <c r="AN9" i="25"/>
  <c r="AK9" i="25"/>
  <c r="AJ9" i="25"/>
  <c r="AI9" i="25"/>
  <c r="AH9" i="25"/>
  <c r="AG9" i="25"/>
  <c r="AF9" i="25"/>
  <c r="AE9" i="25"/>
  <c r="AD9" i="25"/>
  <c r="AC9" i="25"/>
  <c r="AB9" i="25"/>
  <c r="AA9" i="25"/>
  <c r="Z9" i="25"/>
  <c r="Y9" i="25"/>
  <c r="X9" i="25"/>
  <c r="W9" i="25"/>
  <c r="V9" i="25"/>
  <c r="U9" i="25"/>
  <c r="S9" i="25"/>
  <c r="R9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R8" i="25"/>
  <c r="AY7" i="25"/>
  <c r="AW7" i="25"/>
  <c r="AU7" i="25"/>
  <c r="AT7" i="25"/>
  <c r="AS7" i="25"/>
  <c r="AR7" i="25"/>
  <c r="AP7" i="25"/>
  <c r="AO7" i="25"/>
  <c r="AN7" i="25"/>
  <c r="AK7" i="25"/>
  <c r="AJ7" i="25"/>
  <c r="AI7" i="25"/>
  <c r="AH7" i="25"/>
  <c r="AG7" i="25"/>
  <c r="AF7" i="25"/>
  <c r="AE7" i="25"/>
  <c r="AD7" i="25"/>
  <c r="AC7" i="25"/>
  <c r="AB7" i="25"/>
  <c r="AA7" i="25"/>
  <c r="Z7" i="25"/>
  <c r="Y7" i="25"/>
  <c r="X7" i="25"/>
  <c r="W7" i="25"/>
  <c r="V7" i="25"/>
  <c r="U7" i="25"/>
  <c r="S7" i="25"/>
  <c r="R7" i="25"/>
  <c r="AW6" i="25"/>
  <c r="AU6" i="25"/>
  <c r="AT6" i="25"/>
  <c r="AQ6" i="25"/>
  <c r="AO6" i="25"/>
  <c r="AN6" i="25"/>
  <c r="AK6" i="25"/>
  <c r="AJ6" i="25"/>
  <c r="AI6" i="25"/>
  <c r="AH6" i="25"/>
  <c r="AG6" i="25"/>
  <c r="AF6" i="25"/>
  <c r="AE6" i="25"/>
  <c r="AD6" i="25"/>
  <c r="AC6" i="25"/>
  <c r="AB6" i="25"/>
  <c r="AA6" i="25"/>
  <c r="Z6" i="25"/>
  <c r="Y6" i="25"/>
  <c r="X6" i="25"/>
  <c r="W6" i="25"/>
  <c r="V6" i="25"/>
  <c r="U6" i="25"/>
  <c r="S6" i="25"/>
  <c r="R6" i="25"/>
  <c r="AK5" i="25"/>
  <c r="AJ5" i="25"/>
  <c r="AI5" i="25"/>
  <c r="AH5" i="25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S5" i="25"/>
  <c r="R5" i="25"/>
  <c r="AK4" i="25"/>
  <c r="AJ4" i="25"/>
  <c r="AI4" i="25"/>
  <c r="AH4" i="25"/>
  <c r="AG4" i="25"/>
  <c r="AF4" i="25"/>
  <c r="AE4" i="25"/>
  <c r="AD4" i="25"/>
  <c r="AC4" i="25"/>
  <c r="AB4" i="25"/>
  <c r="AA4" i="25"/>
  <c r="Z4" i="25"/>
  <c r="Y4" i="25"/>
  <c r="X4" i="25"/>
  <c r="W4" i="25"/>
  <c r="V4" i="25"/>
  <c r="U4" i="25"/>
  <c r="S4" i="25"/>
  <c r="R4" i="25"/>
  <c r="AJ2" i="25"/>
  <c r="AI2" i="25"/>
  <c r="AH2" i="25"/>
  <c r="AG2" i="25"/>
  <c r="AF2" i="25"/>
  <c r="AE2" i="25"/>
  <c r="AD2" i="25"/>
  <c r="AC2" i="25"/>
  <c r="AB2" i="25"/>
  <c r="AA2" i="25"/>
  <c r="Z2" i="25"/>
  <c r="Y2" i="25"/>
  <c r="X2" i="25"/>
  <c r="W2" i="25"/>
  <c r="V2" i="25"/>
  <c r="U2" i="25"/>
  <c r="C2" i="25"/>
  <c r="X1" i="25"/>
  <c r="R1" i="25"/>
  <c r="Q1" i="25"/>
  <c r="P1" i="25"/>
  <c r="O1" i="25"/>
  <c r="N1" i="25"/>
  <c r="M1" i="25"/>
  <c r="L1" i="25"/>
  <c r="K1" i="25"/>
  <c r="J1" i="25"/>
  <c r="I1" i="25"/>
  <c r="H1" i="25"/>
  <c r="G1" i="25"/>
  <c r="F1" i="25"/>
  <c r="P115" i="24"/>
  <c r="O115" i="24"/>
  <c r="N115" i="24"/>
  <c r="M115" i="24"/>
  <c r="L115" i="24"/>
  <c r="K115" i="24"/>
  <c r="J115" i="24"/>
  <c r="I115" i="24"/>
  <c r="H115" i="24"/>
  <c r="G115" i="24"/>
  <c r="F115" i="24"/>
  <c r="E115" i="24"/>
  <c r="P112" i="24"/>
  <c r="O112" i="24"/>
  <c r="N112" i="24"/>
  <c r="M112" i="24"/>
  <c r="L112" i="24"/>
  <c r="K112" i="24"/>
  <c r="J112" i="24"/>
  <c r="I112" i="24"/>
  <c r="H112" i="24"/>
  <c r="G112" i="24"/>
  <c r="F112" i="24"/>
  <c r="E112" i="24"/>
  <c r="P111" i="24"/>
  <c r="O111" i="24"/>
  <c r="N111" i="24"/>
  <c r="M111" i="24"/>
  <c r="L111" i="24"/>
  <c r="K111" i="24"/>
  <c r="J111" i="24"/>
  <c r="I111" i="24"/>
  <c r="H111" i="24"/>
  <c r="G111" i="24"/>
  <c r="F111" i="24"/>
  <c r="E111" i="24"/>
  <c r="P110" i="24"/>
  <c r="O110" i="24"/>
  <c r="N110" i="24"/>
  <c r="M110" i="24"/>
  <c r="L110" i="24"/>
  <c r="K110" i="24"/>
  <c r="J110" i="24"/>
  <c r="I110" i="24"/>
  <c r="H110" i="24"/>
  <c r="G110" i="24"/>
  <c r="F110" i="24"/>
  <c r="E110" i="24"/>
  <c r="P109" i="24"/>
  <c r="O109" i="24"/>
  <c r="N109" i="24"/>
  <c r="M109" i="24"/>
  <c r="L109" i="24"/>
  <c r="K109" i="24"/>
  <c r="J109" i="24"/>
  <c r="I109" i="24"/>
  <c r="H109" i="24"/>
  <c r="G109" i="24"/>
  <c r="F109" i="24"/>
  <c r="E109" i="24"/>
  <c r="P108" i="24"/>
  <c r="O108" i="24"/>
  <c r="N108" i="24"/>
  <c r="M108" i="24"/>
  <c r="L108" i="24"/>
  <c r="K108" i="24"/>
  <c r="J108" i="24"/>
  <c r="I108" i="24"/>
  <c r="H108" i="24"/>
  <c r="G108" i="24"/>
  <c r="F108" i="24"/>
  <c r="E108" i="24"/>
  <c r="P107" i="24"/>
  <c r="O107" i="24"/>
  <c r="N107" i="24"/>
  <c r="M107" i="24"/>
  <c r="L107" i="24"/>
  <c r="K107" i="24"/>
  <c r="J107" i="24"/>
  <c r="I107" i="24"/>
  <c r="H107" i="24"/>
  <c r="G107" i="24"/>
  <c r="F107" i="24"/>
  <c r="E107" i="24"/>
  <c r="P106" i="24"/>
  <c r="O106" i="24"/>
  <c r="N106" i="24"/>
  <c r="M106" i="24"/>
  <c r="L106" i="24"/>
  <c r="K106" i="24"/>
  <c r="J106" i="24"/>
  <c r="I106" i="24"/>
  <c r="H106" i="24"/>
  <c r="G106" i="24"/>
  <c r="F106" i="24"/>
  <c r="E106" i="24"/>
  <c r="P105" i="24"/>
  <c r="O105" i="24"/>
  <c r="N105" i="24"/>
  <c r="M105" i="24"/>
  <c r="L105" i="24"/>
  <c r="K105" i="24"/>
  <c r="J105" i="24"/>
  <c r="I105" i="24"/>
  <c r="H105" i="24"/>
  <c r="G105" i="24"/>
  <c r="F105" i="24"/>
  <c r="E105" i="24"/>
  <c r="P104" i="24"/>
  <c r="O104" i="24"/>
  <c r="N104" i="24"/>
  <c r="M104" i="24"/>
  <c r="L104" i="24"/>
  <c r="K104" i="24"/>
  <c r="J104" i="24"/>
  <c r="I104" i="24"/>
  <c r="H104" i="24"/>
  <c r="G104" i="24"/>
  <c r="F104" i="24"/>
  <c r="E104" i="24"/>
  <c r="W103" i="24"/>
  <c r="P103" i="24"/>
  <c r="O103" i="24"/>
  <c r="N103" i="24"/>
  <c r="M103" i="24"/>
  <c r="L103" i="24"/>
  <c r="K103" i="24"/>
  <c r="J103" i="24"/>
  <c r="I103" i="24"/>
  <c r="H103" i="24"/>
  <c r="G103" i="24"/>
  <c r="F103" i="24"/>
  <c r="E103" i="24"/>
  <c r="R101" i="24"/>
  <c r="Q101" i="24"/>
  <c r="P101" i="24"/>
  <c r="O101" i="24"/>
  <c r="N101" i="24"/>
  <c r="M101" i="24"/>
  <c r="L101" i="24"/>
  <c r="K101" i="24"/>
  <c r="J101" i="24"/>
  <c r="I101" i="24"/>
  <c r="H101" i="24"/>
  <c r="G101" i="24"/>
  <c r="F101" i="24"/>
  <c r="E101" i="24"/>
  <c r="AL100" i="24"/>
  <c r="AK100" i="24"/>
  <c r="AI100" i="24"/>
  <c r="AH100" i="24"/>
  <c r="AG100" i="24"/>
  <c r="AF100" i="24"/>
  <c r="AE100" i="24"/>
  <c r="AD100" i="24"/>
  <c r="AC100" i="24"/>
  <c r="AB100" i="24"/>
  <c r="AA100" i="24"/>
  <c r="Z100" i="24"/>
  <c r="Y100" i="24"/>
  <c r="X100" i="24"/>
  <c r="W100" i="24"/>
  <c r="V100" i="24"/>
  <c r="U100" i="24"/>
  <c r="T100" i="24"/>
  <c r="R100" i="24"/>
  <c r="Q100" i="24"/>
  <c r="K100" i="24"/>
  <c r="Q99" i="24"/>
  <c r="AL98" i="24"/>
  <c r="AK98" i="24"/>
  <c r="AI98" i="24"/>
  <c r="AH98" i="24"/>
  <c r="AG98" i="24"/>
  <c r="AF98" i="24"/>
  <c r="AE98" i="24"/>
  <c r="AD98" i="24"/>
  <c r="AC98" i="24"/>
  <c r="AB98" i="24"/>
  <c r="AA98" i="24"/>
  <c r="Z98" i="24"/>
  <c r="Y98" i="24"/>
  <c r="X98" i="24"/>
  <c r="W98" i="24"/>
  <c r="V98" i="24"/>
  <c r="U98" i="24"/>
  <c r="T98" i="24"/>
  <c r="R98" i="24"/>
  <c r="Q98" i="24"/>
  <c r="H98" i="24"/>
  <c r="AL97" i="24"/>
  <c r="AK97" i="24"/>
  <c r="AI97" i="24"/>
  <c r="AH97" i="24"/>
  <c r="AG97" i="24"/>
  <c r="AF97" i="24"/>
  <c r="AE97" i="24"/>
  <c r="AD97" i="24"/>
  <c r="AC97" i="24"/>
  <c r="AB97" i="24"/>
  <c r="AA97" i="24"/>
  <c r="Z97" i="24"/>
  <c r="Y97" i="24"/>
  <c r="X97" i="24"/>
  <c r="W97" i="24"/>
  <c r="V97" i="24"/>
  <c r="U97" i="24"/>
  <c r="T97" i="24"/>
  <c r="R97" i="24"/>
  <c r="Q97" i="24"/>
  <c r="K97" i="24"/>
  <c r="E97" i="24"/>
  <c r="AL96" i="24"/>
  <c r="AK96" i="24"/>
  <c r="AI96" i="24"/>
  <c r="AH96" i="24"/>
  <c r="AG96" i="24"/>
  <c r="AF96" i="24"/>
  <c r="AE96" i="24"/>
  <c r="AD96" i="24"/>
  <c r="AC96" i="24"/>
  <c r="AB96" i="24"/>
  <c r="AA96" i="24"/>
  <c r="Z96" i="24"/>
  <c r="Y96" i="24"/>
  <c r="X96" i="24"/>
  <c r="W96" i="24"/>
  <c r="V96" i="24"/>
  <c r="U96" i="24"/>
  <c r="T96" i="24"/>
  <c r="R96" i="24"/>
  <c r="Q96" i="24"/>
  <c r="AL95" i="24"/>
  <c r="AK95" i="24"/>
  <c r="AI95" i="24"/>
  <c r="AH95" i="24"/>
  <c r="AG95" i="24"/>
  <c r="AF95" i="24"/>
  <c r="AE95" i="24"/>
  <c r="AD95" i="24"/>
  <c r="AC95" i="24"/>
  <c r="AB95" i="24"/>
  <c r="AA95" i="24"/>
  <c r="Z95" i="24"/>
  <c r="Y95" i="24"/>
  <c r="X95" i="24"/>
  <c r="W95" i="24"/>
  <c r="V95" i="24"/>
  <c r="U95" i="24"/>
  <c r="T95" i="24"/>
  <c r="R95" i="24"/>
  <c r="Q95" i="24"/>
  <c r="AL94" i="24"/>
  <c r="AK94" i="24"/>
  <c r="AI94" i="24"/>
  <c r="AH94" i="24"/>
  <c r="AG94" i="24"/>
  <c r="AF94" i="24"/>
  <c r="AE94" i="24"/>
  <c r="AD94" i="24"/>
  <c r="AC94" i="24"/>
  <c r="AB94" i="24"/>
  <c r="AA94" i="24"/>
  <c r="Z94" i="24"/>
  <c r="Y94" i="24"/>
  <c r="X94" i="24"/>
  <c r="W94" i="24"/>
  <c r="V94" i="24"/>
  <c r="U94" i="24"/>
  <c r="T94" i="24"/>
  <c r="R94" i="24"/>
  <c r="Q94" i="24"/>
  <c r="AL93" i="24"/>
  <c r="AK93" i="24"/>
  <c r="AI93" i="24"/>
  <c r="AH93" i="24"/>
  <c r="AG93" i="24"/>
  <c r="AF93" i="24"/>
  <c r="AE93" i="24"/>
  <c r="AD93" i="24"/>
  <c r="AC93" i="24"/>
  <c r="AB93" i="24"/>
  <c r="AA93" i="24"/>
  <c r="Z93" i="24"/>
  <c r="Y93" i="24"/>
  <c r="X93" i="24"/>
  <c r="W93" i="24"/>
  <c r="V93" i="24"/>
  <c r="U93" i="24"/>
  <c r="T93" i="24"/>
  <c r="R93" i="24"/>
  <c r="Q93" i="24"/>
  <c r="AL92" i="24"/>
  <c r="AK92" i="24"/>
  <c r="AI92" i="24"/>
  <c r="AH92" i="24"/>
  <c r="AG92" i="24"/>
  <c r="AF92" i="24"/>
  <c r="AE92" i="24"/>
  <c r="AD92" i="24"/>
  <c r="AC92" i="24"/>
  <c r="AB92" i="24"/>
  <c r="AA92" i="24"/>
  <c r="Z92" i="24"/>
  <c r="Y92" i="24"/>
  <c r="X92" i="24"/>
  <c r="W92" i="24"/>
  <c r="V92" i="24"/>
  <c r="U92" i="24"/>
  <c r="T92" i="24"/>
  <c r="R92" i="24"/>
  <c r="Q92" i="24"/>
  <c r="AL91" i="24"/>
  <c r="AK91" i="24"/>
  <c r="AI91" i="24"/>
  <c r="AH91" i="24"/>
  <c r="AG91" i="24"/>
  <c r="AF91" i="24"/>
  <c r="AE91" i="24"/>
  <c r="AD91" i="24"/>
  <c r="AC91" i="24"/>
  <c r="AB91" i="24"/>
  <c r="AA91" i="24"/>
  <c r="Z91" i="24"/>
  <c r="Y91" i="24"/>
  <c r="X91" i="24"/>
  <c r="W91" i="24"/>
  <c r="V91" i="24"/>
  <c r="U91" i="24"/>
  <c r="T91" i="24"/>
  <c r="R91" i="24"/>
  <c r="Q91" i="24"/>
  <c r="AL90" i="24"/>
  <c r="AK90" i="24"/>
  <c r="AI90" i="24"/>
  <c r="AH90" i="24"/>
  <c r="AG90" i="24"/>
  <c r="AF90" i="24"/>
  <c r="AE90" i="24"/>
  <c r="AD90" i="24"/>
  <c r="AC90" i="24"/>
  <c r="AB90" i="24"/>
  <c r="AA90" i="24"/>
  <c r="Z90" i="24"/>
  <c r="Y90" i="24"/>
  <c r="X90" i="24"/>
  <c r="W90" i="24"/>
  <c r="V90" i="24"/>
  <c r="U90" i="24"/>
  <c r="T90" i="24"/>
  <c r="R90" i="24"/>
  <c r="Q90" i="24"/>
  <c r="AL89" i="24"/>
  <c r="AK89" i="24"/>
  <c r="AI89" i="24"/>
  <c r="AH89" i="24"/>
  <c r="AG89" i="24"/>
  <c r="AF89" i="24"/>
  <c r="AE89" i="24"/>
  <c r="AD89" i="24"/>
  <c r="AC89" i="24"/>
  <c r="AB89" i="24"/>
  <c r="AA89" i="24"/>
  <c r="Z89" i="24"/>
  <c r="Y89" i="24"/>
  <c r="X89" i="24"/>
  <c r="W89" i="24"/>
  <c r="V89" i="24"/>
  <c r="U89" i="24"/>
  <c r="T89" i="24"/>
  <c r="R89" i="24"/>
  <c r="Q89" i="24"/>
  <c r="AL88" i="24"/>
  <c r="AK88" i="24"/>
  <c r="AI88" i="24"/>
  <c r="AH88" i="24"/>
  <c r="AG88" i="24"/>
  <c r="AF88" i="24"/>
  <c r="AE88" i="24"/>
  <c r="AD88" i="24"/>
  <c r="AC88" i="24"/>
  <c r="AB88" i="24"/>
  <c r="AA88" i="24"/>
  <c r="Z88" i="24"/>
  <c r="Y88" i="24"/>
  <c r="X88" i="24"/>
  <c r="W88" i="24"/>
  <c r="V88" i="24"/>
  <c r="U88" i="24"/>
  <c r="T88" i="24"/>
  <c r="R88" i="24"/>
  <c r="Q88" i="24"/>
  <c r="AL87" i="24"/>
  <c r="AK87" i="24"/>
  <c r="AI87" i="24"/>
  <c r="AH87" i="24"/>
  <c r="AG87" i="24"/>
  <c r="AF87" i="24"/>
  <c r="AE87" i="24"/>
  <c r="AD87" i="24"/>
  <c r="AC87" i="24"/>
  <c r="AB87" i="24"/>
  <c r="AA87" i="24"/>
  <c r="Z87" i="24"/>
  <c r="Y87" i="24"/>
  <c r="X87" i="24"/>
  <c r="W87" i="24"/>
  <c r="V87" i="24"/>
  <c r="U87" i="24"/>
  <c r="T87" i="24"/>
  <c r="R87" i="24"/>
  <c r="Q87" i="24"/>
  <c r="AL86" i="24"/>
  <c r="AK86" i="24"/>
  <c r="AI86" i="24"/>
  <c r="AH86" i="24"/>
  <c r="AG86" i="24"/>
  <c r="AF86" i="24"/>
  <c r="AE86" i="24"/>
  <c r="AD86" i="24"/>
  <c r="AC86" i="24"/>
  <c r="AB86" i="24"/>
  <c r="AA86" i="24"/>
  <c r="Z86" i="24"/>
  <c r="Y86" i="24"/>
  <c r="X86" i="24"/>
  <c r="W86" i="24"/>
  <c r="V86" i="24"/>
  <c r="U86" i="24"/>
  <c r="T86" i="24"/>
  <c r="R86" i="24"/>
  <c r="Q86" i="24"/>
  <c r="AL85" i="24"/>
  <c r="AK85" i="24"/>
  <c r="AI85" i="24"/>
  <c r="AH85" i="24"/>
  <c r="AG85" i="24"/>
  <c r="AF85" i="24"/>
  <c r="AE85" i="24"/>
  <c r="AD85" i="24"/>
  <c r="AC85" i="24"/>
  <c r="AB85" i="24"/>
  <c r="AA85" i="24"/>
  <c r="Z85" i="24"/>
  <c r="Y85" i="24"/>
  <c r="X85" i="24"/>
  <c r="W85" i="24"/>
  <c r="V85" i="24"/>
  <c r="U85" i="24"/>
  <c r="T85" i="24"/>
  <c r="R85" i="24"/>
  <c r="Q85" i="24"/>
  <c r="AL84" i="24"/>
  <c r="AK84" i="24"/>
  <c r="AI84" i="24"/>
  <c r="AH84" i="24"/>
  <c r="AG84" i="24"/>
  <c r="AF84" i="24"/>
  <c r="AE84" i="24"/>
  <c r="AD84" i="24"/>
  <c r="AC84" i="24"/>
  <c r="AB84" i="24"/>
  <c r="AA84" i="24"/>
  <c r="Z84" i="24"/>
  <c r="Y84" i="24"/>
  <c r="X84" i="24"/>
  <c r="W84" i="24"/>
  <c r="V84" i="24"/>
  <c r="U84" i="24"/>
  <c r="T84" i="24"/>
  <c r="R84" i="24"/>
  <c r="Q84" i="24"/>
  <c r="AL83" i="24"/>
  <c r="AK83" i="24"/>
  <c r="AI83" i="24"/>
  <c r="AH83" i="24"/>
  <c r="AG83" i="24"/>
  <c r="AF83" i="24"/>
  <c r="AE83" i="24"/>
  <c r="AD83" i="24"/>
  <c r="AC83" i="24"/>
  <c r="AB83" i="24"/>
  <c r="AA83" i="24"/>
  <c r="Z83" i="24"/>
  <c r="Y83" i="24"/>
  <c r="X83" i="24"/>
  <c r="W83" i="24"/>
  <c r="V83" i="24"/>
  <c r="U83" i="24"/>
  <c r="T83" i="24"/>
  <c r="R83" i="24"/>
  <c r="Q83" i="24"/>
  <c r="AL82" i="24"/>
  <c r="AK82" i="24"/>
  <c r="AI82" i="24"/>
  <c r="AH82" i="24"/>
  <c r="AG82" i="24"/>
  <c r="AF82" i="24"/>
  <c r="AE82" i="24"/>
  <c r="AD82" i="24"/>
  <c r="AC82" i="24"/>
  <c r="AB82" i="24"/>
  <c r="AA82" i="24"/>
  <c r="Z82" i="24"/>
  <c r="Y82" i="24"/>
  <c r="X82" i="24"/>
  <c r="W82" i="24"/>
  <c r="V82" i="24"/>
  <c r="U82" i="24"/>
  <c r="T82" i="24"/>
  <c r="R82" i="24"/>
  <c r="Q82" i="24"/>
  <c r="AL81" i="24"/>
  <c r="AK81" i="24"/>
  <c r="AI81" i="24"/>
  <c r="AH81" i="24"/>
  <c r="AG81" i="24"/>
  <c r="AF81" i="24"/>
  <c r="AE81" i="24"/>
  <c r="AD81" i="24"/>
  <c r="AC81" i="24"/>
  <c r="AB81" i="24"/>
  <c r="AA81" i="24"/>
  <c r="Z81" i="24"/>
  <c r="Y81" i="24"/>
  <c r="X81" i="24"/>
  <c r="W81" i="24"/>
  <c r="V81" i="24"/>
  <c r="U81" i="24"/>
  <c r="T81" i="24"/>
  <c r="R81" i="24"/>
  <c r="Q81" i="24"/>
  <c r="AL80" i="24"/>
  <c r="AK80" i="24"/>
  <c r="AI80" i="24"/>
  <c r="AH80" i="24"/>
  <c r="AG80" i="24"/>
  <c r="AF80" i="24"/>
  <c r="AE80" i="24"/>
  <c r="AD80" i="24"/>
  <c r="AC80" i="24"/>
  <c r="AB80" i="24"/>
  <c r="AA80" i="24"/>
  <c r="Z80" i="24"/>
  <c r="Y80" i="24"/>
  <c r="X80" i="24"/>
  <c r="W80" i="24"/>
  <c r="V80" i="24"/>
  <c r="U80" i="24"/>
  <c r="T80" i="24"/>
  <c r="R80" i="24"/>
  <c r="Q80" i="24"/>
  <c r="AL79" i="24"/>
  <c r="AK79" i="24"/>
  <c r="AI79" i="24"/>
  <c r="AH79" i="24"/>
  <c r="AG79" i="24"/>
  <c r="AF79" i="24"/>
  <c r="AE79" i="24"/>
  <c r="AD79" i="24"/>
  <c r="AC79" i="24"/>
  <c r="AB79" i="24"/>
  <c r="AA79" i="24"/>
  <c r="Z79" i="24"/>
  <c r="Y79" i="24"/>
  <c r="X79" i="24"/>
  <c r="W79" i="24"/>
  <c r="V79" i="24"/>
  <c r="U79" i="24"/>
  <c r="T79" i="24"/>
  <c r="R79" i="24"/>
  <c r="Q79" i="24"/>
  <c r="N79" i="24"/>
  <c r="K79" i="24"/>
  <c r="H79" i="24"/>
  <c r="AL78" i="24"/>
  <c r="AK78" i="24"/>
  <c r="AI78" i="24"/>
  <c r="AH78" i="24"/>
  <c r="AG78" i="24"/>
  <c r="AF78" i="24"/>
  <c r="AE78" i="24"/>
  <c r="AD78" i="24"/>
  <c r="AC78" i="24"/>
  <c r="AB78" i="24"/>
  <c r="AA78" i="24"/>
  <c r="Z78" i="24"/>
  <c r="Y78" i="24"/>
  <c r="X78" i="24"/>
  <c r="W78" i="24"/>
  <c r="V78" i="24"/>
  <c r="U78" i="24"/>
  <c r="T78" i="24"/>
  <c r="R78" i="24"/>
  <c r="Q78" i="24"/>
  <c r="AL77" i="24"/>
  <c r="AK77" i="24"/>
  <c r="AI77" i="24"/>
  <c r="AH77" i="24"/>
  <c r="AG77" i="24"/>
  <c r="AF77" i="24"/>
  <c r="AE77" i="24"/>
  <c r="AD77" i="24"/>
  <c r="AC77" i="24"/>
  <c r="AB77" i="24"/>
  <c r="AA77" i="24"/>
  <c r="Z77" i="24"/>
  <c r="Y77" i="24"/>
  <c r="X77" i="24"/>
  <c r="W77" i="24"/>
  <c r="V77" i="24"/>
  <c r="U77" i="24"/>
  <c r="T77" i="24"/>
  <c r="R77" i="24"/>
  <c r="Q77" i="24"/>
  <c r="AL76" i="24"/>
  <c r="AK76" i="24"/>
  <c r="AI76" i="24"/>
  <c r="AH76" i="24"/>
  <c r="AG76" i="24"/>
  <c r="AF76" i="24"/>
  <c r="AE76" i="24"/>
  <c r="AD76" i="24"/>
  <c r="AC76" i="24"/>
  <c r="AB76" i="24"/>
  <c r="AA76" i="24"/>
  <c r="Z76" i="24"/>
  <c r="Y76" i="24"/>
  <c r="X76" i="24"/>
  <c r="W76" i="24"/>
  <c r="V76" i="24"/>
  <c r="U76" i="24"/>
  <c r="T76" i="24"/>
  <c r="R76" i="24"/>
  <c r="Q76" i="24"/>
  <c r="AL75" i="24"/>
  <c r="AK75" i="24"/>
  <c r="AI75" i="24"/>
  <c r="AH75" i="24"/>
  <c r="AG75" i="24"/>
  <c r="AF75" i="24"/>
  <c r="AE75" i="24"/>
  <c r="AD75" i="24"/>
  <c r="AC75" i="24"/>
  <c r="AB75" i="24"/>
  <c r="AA75" i="24"/>
  <c r="Z75" i="24"/>
  <c r="Y75" i="24"/>
  <c r="X75" i="24"/>
  <c r="W75" i="24"/>
  <c r="V75" i="24"/>
  <c r="U75" i="24"/>
  <c r="T75" i="24"/>
  <c r="R75" i="24"/>
  <c r="Q75" i="24"/>
  <c r="AL74" i="24"/>
  <c r="AK74" i="24"/>
  <c r="AI74" i="24"/>
  <c r="AH74" i="24"/>
  <c r="AG74" i="24"/>
  <c r="AF74" i="24"/>
  <c r="AE74" i="24"/>
  <c r="AD74" i="24"/>
  <c r="AC74" i="24"/>
  <c r="AB74" i="24"/>
  <c r="AA74" i="24"/>
  <c r="Z74" i="24"/>
  <c r="Y74" i="24"/>
  <c r="X74" i="24"/>
  <c r="W74" i="24"/>
  <c r="V74" i="24"/>
  <c r="U74" i="24"/>
  <c r="T74" i="24"/>
  <c r="R74" i="24"/>
  <c r="Q74" i="24"/>
  <c r="AL73" i="24"/>
  <c r="AK73" i="24"/>
  <c r="AI73" i="24"/>
  <c r="AH73" i="24"/>
  <c r="AG73" i="24"/>
  <c r="AF73" i="24"/>
  <c r="AE73" i="24"/>
  <c r="AD73" i="24"/>
  <c r="AC73" i="24"/>
  <c r="AB73" i="24"/>
  <c r="AA73" i="24"/>
  <c r="Z73" i="24"/>
  <c r="Y73" i="24"/>
  <c r="X73" i="24"/>
  <c r="W73" i="24"/>
  <c r="V73" i="24"/>
  <c r="U73" i="24"/>
  <c r="T73" i="24"/>
  <c r="R73" i="24"/>
  <c r="Q73" i="24"/>
  <c r="AL72" i="24"/>
  <c r="AK72" i="24"/>
  <c r="AI72" i="24"/>
  <c r="AH72" i="24"/>
  <c r="AG72" i="24"/>
  <c r="AF72" i="24"/>
  <c r="AE72" i="24"/>
  <c r="AD72" i="24"/>
  <c r="AC72" i="24"/>
  <c r="AB72" i="24"/>
  <c r="AA72" i="24"/>
  <c r="Z72" i="24"/>
  <c r="Y72" i="24"/>
  <c r="X72" i="24"/>
  <c r="W72" i="24"/>
  <c r="V72" i="24"/>
  <c r="U72" i="24"/>
  <c r="T72" i="24"/>
  <c r="R72" i="24"/>
  <c r="Q72" i="24"/>
  <c r="AL71" i="24"/>
  <c r="AK71" i="24"/>
  <c r="AI71" i="24"/>
  <c r="AH71" i="24"/>
  <c r="AG71" i="24"/>
  <c r="AF71" i="24"/>
  <c r="AE71" i="24"/>
  <c r="AD71" i="24"/>
  <c r="AC71" i="24"/>
  <c r="AB71" i="24"/>
  <c r="AA71" i="24"/>
  <c r="Z71" i="24"/>
  <c r="Y71" i="24"/>
  <c r="X71" i="24"/>
  <c r="W71" i="24"/>
  <c r="V71" i="24"/>
  <c r="U71" i="24"/>
  <c r="T71" i="24"/>
  <c r="R71" i="24"/>
  <c r="Q71" i="24"/>
  <c r="AL70" i="24"/>
  <c r="AK70" i="24"/>
  <c r="AI70" i="24"/>
  <c r="AH70" i="24"/>
  <c r="AG70" i="24"/>
  <c r="AF70" i="24"/>
  <c r="AE70" i="24"/>
  <c r="AD70" i="24"/>
  <c r="AC70" i="24"/>
  <c r="AB70" i="24"/>
  <c r="AA70" i="24"/>
  <c r="Z70" i="24"/>
  <c r="Y70" i="24"/>
  <c r="X70" i="24"/>
  <c r="W70" i="24"/>
  <c r="V70" i="24"/>
  <c r="U70" i="24"/>
  <c r="T70" i="24"/>
  <c r="R70" i="24"/>
  <c r="Q70" i="24"/>
  <c r="AL69" i="24"/>
  <c r="AK69" i="24"/>
  <c r="AI69" i="24"/>
  <c r="AH69" i="24"/>
  <c r="AG69" i="24"/>
  <c r="AF69" i="24"/>
  <c r="AE69" i="24"/>
  <c r="AD69" i="24"/>
  <c r="AC69" i="24"/>
  <c r="AB69" i="24"/>
  <c r="AA69" i="24"/>
  <c r="Z69" i="24"/>
  <c r="Y69" i="24"/>
  <c r="X69" i="24"/>
  <c r="W69" i="24"/>
  <c r="V69" i="24"/>
  <c r="U69" i="24"/>
  <c r="T69" i="24"/>
  <c r="R69" i="24"/>
  <c r="Q69" i="24"/>
  <c r="AL68" i="24"/>
  <c r="AK68" i="24"/>
  <c r="AI68" i="24"/>
  <c r="AH68" i="24"/>
  <c r="AG68" i="24"/>
  <c r="AF68" i="24"/>
  <c r="AE68" i="24"/>
  <c r="AD68" i="24"/>
  <c r="AC68" i="24"/>
  <c r="AB68" i="24"/>
  <c r="AA68" i="24"/>
  <c r="Z68" i="24"/>
  <c r="Y68" i="24"/>
  <c r="X68" i="24"/>
  <c r="W68" i="24"/>
  <c r="V68" i="24"/>
  <c r="U68" i="24"/>
  <c r="T68" i="24"/>
  <c r="R68" i="24"/>
  <c r="Q68" i="24"/>
  <c r="AL67" i="24"/>
  <c r="AK67" i="24"/>
  <c r="AI67" i="24"/>
  <c r="AH67" i="24"/>
  <c r="AG67" i="24"/>
  <c r="AF67" i="24"/>
  <c r="AE67" i="24"/>
  <c r="AD67" i="24"/>
  <c r="AC67" i="24"/>
  <c r="AB67" i="24"/>
  <c r="AA67" i="24"/>
  <c r="Z67" i="24"/>
  <c r="Y67" i="24"/>
  <c r="X67" i="24"/>
  <c r="W67" i="24"/>
  <c r="V67" i="24"/>
  <c r="U67" i="24"/>
  <c r="T67" i="24"/>
  <c r="R67" i="24"/>
  <c r="Q67" i="24"/>
  <c r="AL66" i="24"/>
  <c r="AK66" i="24"/>
  <c r="AI66" i="24"/>
  <c r="AH66" i="24"/>
  <c r="AG66" i="24"/>
  <c r="AF66" i="24"/>
  <c r="AE66" i="24"/>
  <c r="AD66" i="24"/>
  <c r="AC66" i="24"/>
  <c r="AB66" i="24"/>
  <c r="AA66" i="24"/>
  <c r="Z66" i="24"/>
  <c r="Y66" i="24"/>
  <c r="X66" i="24"/>
  <c r="W66" i="24"/>
  <c r="V66" i="24"/>
  <c r="U66" i="24"/>
  <c r="T66" i="24"/>
  <c r="R66" i="24"/>
  <c r="Q66" i="24"/>
  <c r="AL65" i="24"/>
  <c r="AK65" i="24"/>
  <c r="AI65" i="24"/>
  <c r="AH65" i="24"/>
  <c r="AG65" i="24"/>
  <c r="AF65" i="24"/>
  <c r="AE65" i="24"/>
  <c r="AD65" i="24"/>
  <c r="AC65" i="24"/>
  <c r="AB65" i="24"/>
  <c r="AA65" i="24"/>
  <c r="Z65" i="24"/>
  <c r="Y65" i="24"/>
  <c r="X65" i="24"/>
  <c r="W65" i="24"/>
  <c r="V65" i="24"/>
  <c r="U65" i="24"/>
  <c r="T65" i="24"/>
  <c r="R65" i="24"/>
  <c r="Q65" i="24"/>
  <c r="AL64" i="24"/>
  <c r="AK64" i="24"/>
  <c r="AI64" i="24"/>
  <c r="AH64" i="24"/>
  <c r="AG64" i="24"/>
  <c r="AF64" i="24"/>
  <c r="AE64" i="24"/>
  <c r="AD64" i="24"/>
  <c r="AC64" i="24"/>
  <c r="AB64" i="24"/>
  <c r="AA64" i="24"/>
  <c r="Z64" i="24"/>
  <c r="Y64" i="24"/>
  <c r="X64" i="24"/>
  <c r="W64" i="24"/>
  <c r="V64" i="24"/>
  <c r="U64" i="24"/>
  <c r="T64" i="24"/>
  <c r="R64" i="24"/>
  <c r="Q64" i="24"/>
  <c r="AL63" i="24"/>
  <c r="AK63" i="24"/>
  <c r="AI63" i="24"/>
  <c r="AH63" i="24"/>
  <c r="AG63" i="24"/>
  <c r="AF63" i="24"/>
  <c r="AE63" i="24"/>
  <c r="AD63" i="24"/>
  <c r="AC63" i="24"/>
  <c r="AB63" i="24"/>
  <c r="AA63" i="24"/>
  <c r="Z63" i="24"/>
  <c r="Y63" i="24"/>
  <c r="X63" i="24"/>
  <c r="W63" i="24"/>
  <c r="V63" i="24"/>
  <c r="U63" i="24"/>
  <c r="T63" i="24"/>
  <c r="R63" i="24"/>
  <c r="Q63" i="24"/>
  <c r="AL62" i="24"/>
  <c r="AK62" i="24"/>
  <c r="AI62" i="24"/>
  <c r="AH62" i="24"/>
  <c r="AG62" i="24"/>
  <c r="AF62" i="24"/>
  <c r="AE62" i="24"/>
  <c r="AD62" i="24"/>
  <c r="AC62" i="24"/>
  <c r="AB62" i="24"/>
  <c r="AA62" i="24"/>
  <c r="Z62" i="24"/>
  <c r="Y62" i="24"/>
  <c r="X62" i="24"/>
  <c r="W62" i="24"/>
  <c r="V62" i="24"/>
  <c r="U62" i="24"/>
  <c r="T62" i="24"/>
  <c r="R62" i="24"/>
  <c r="Q62" i="24"/>
  <c r="AL61" i="24"/>
  <c r="AK61" i="24"/>
  <c r="AI61" i="24"/>
  <c r="AH61" i="24"/>
  <c r="AG61" i="24"/>
  <c r="AF61" i="24"/>
  <c r="AE61" i="24"/>
  <c r="AD61" i="24"/>
  <c r="AC61" i="24"/>
  <c r="AB61" i="24"/>
  <c r="AA61" i="24"/>
  <c r="Z61" i="24"/>
  <c r="Y61" i="24"/>
  <c r="X61" i="24"/>
  <c r="W61" i="24"/>
  <c r="V61" i="24"/>
  <c r="U61" i="24"/>
  <c r="T61" i="24"/>
  <c r="R61" i="24"/>
  <c r="Q61" i="24"/>
  <c r="AL60" i="24"/>
  <c r="AK60" i="24"/>
  <c r="AI60" i="24"/>
  <c r="AH60" i="24"/>
  <c r="AG60" i="24"/>
  <c r="AF60" i="24"/>
  <c r="AE60" i="24"/>
  <c r="AD60" i="24"/>
  <c r="AC60" i="24"/>
  <c r="AB60" i="24"/>
  <c r="AA60" i="24"/>
  <c r="Z60" i="24"/>
  <c r="Y60" i="24"/>
  <c r="X60" i="24"/>
  <c r="W60" i="24"/>
  <c r="V60" i="24"/>
  <c r="U60" i="24"/>
  <c r="T60" i="24"/>
  <c r="R60" i="24"/>
  <c r="Q60" i="24"/>
  <c r="AL59" i="24"/>
  <c r="AK59" i="24"/>
  <c r="AI59" i="24"/>
  <c r="AH59" i="24"/>
  <c r="AG59" i="24"/>
  <c r="AF59" i="24"/>
  <c r="AE59" i="24"/>
  <c r="AD59" i="24"/>
  <c r="AC59" i="24"/>
  <c r="AB59" i="24"/>
  <c r="AA59" i="24"/>
  <c r="Z59" i="24"/>
  <c r="Y59" i="24"/>
  <c r="X59" i="24"/>
  <c r="W59" i="24"/>
  <c r="V59" i="24"/>
  <c r="U59" i="24"/>
  <c r="T59" i="24"/>
  <c r="R59" i="24"/>
  <c r="Q59" i="24"/>
  <c r="AL58" i="24"/>
  <c r="AK58" i="24"/>
  <c r="AI58" i="24"/>
  <c r="AH58" i="24"/>
  <c r="AG58" i="24"/>
  <c r="AF58" i="24"/>
  <c r="AE58" i="24"/>
  <c r="AD58" i="24"/>
  <c r="AC58" i="24"/>
  <c r="AB58" i="24"/>
  <c r="AA58" i="24"/>
  <c r="Z58" i="24"/>
  <c r="Y58" i="24"/>
  <c r="X58" i="24"/>
  <c r="W58" i="24"/>
  <c r="V58" i="24"/>
  <c r="U58" i="24"/>
  <c r="T58" i="24"/>
  <c r="R58" i="24"/>
  <c r="Q58" i="24"/>
  <c r="AL57" i="24"/>
  <c r="AK57" i="24"/>
  <c r="AI57" i="24"/>
  <c r="AH57" i="24"/>
  <c r="AG57" i="24"/>
  <c r="AF57" i="24"/>
  <c r="AE57" i="24"/>
  <c r="AD57" i="24"/>
  <c r="AC57" i="24"/>
  <c r="AB57" i="24"/>
  <c r="AA57" i="24"/>
  <c r="Z57" i="24"/>
  <c r="Y57" i="24"/>
  <c r="X57" i="24"/>
  <c r="W57" i="24"/>
  <c r="V57" i="24"/>
  <c r="U57" i="24"/>
  <c r="T57" i="24"/>
  <c r="R57" i="24"/>
  <c r="Q57" i="24"/>
  <c r="AL56" i="24"/>
  <c r="AK56" i="24"/>
  <c r="AI56" i="24"/>
  <c r="AH56" i="24"/>
  <c r="AG56" i="24"/>
  <c r="AF56" i="24"/>
  <c r="AE56" i="24"/>
  <c r="AD56" i="24"/>
  <c r="AC56" i="24"/>
  <c r="AB56" i="24"/>
  <c r="AA56" i="24"/>
  <c r="Z56" i="24"/>
  <c r="Y56" i="24"/>
  <c r="X56" i="24"/>
  <c r="W56" i="24"/>
  <c r="V56" i="24"/>
  <c r="U56" i="24"/>
  <c r="T56" i="24"/>
  <c r="R56" i="24"/>
  <c r="Q56" i="24"/>
  <c r="AL55" i="24"/>
  <c r="AK55" i="24"/>
  <c r="AI55" i="24"/>
  <c r="AH55" i="24"/>
  <c r="AG55" i="24"/>
  <c r="AF55" i="24"/>
  <c r="AE55" i="24"/>
  <c r="AD55" i="24"/>
  <c r="AC55" i="24"/>
  <c r="AB55" i="24"/>
  <c r="AA55" i="24"/>
  <c r="Z55" i="24"/>
  <c r="Y55" i="24"/>
  <c r="X55" i="24"/>
  <c r="W55" i="24"/>
  <c r="V55" i="24"/>
  <c r="U55" i="24"/>
  <c r="T55" i="24"/>
  <c r="R55" i="24"/>
  <c r="Q55" i="24"/>
  <c r="AL54" i="24"/>
  <c r="AK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V54" i="24"/>
  <c r="U54" i="24"/>
  <c r="T54" i="24"/>
  <c r="R54" i="24"/>
  <c r="Q54" i="24"/>
  <c r="M54" i="24"/>
  <c r="J54" i="24"/>
  <c r="F54" i="24"/>
  <c r="AL53" i="24"/>
  <c r="AK53" i="24"/>
  <c r="AI53" i="24"/>
  <c r="AH53" i="24"/>
  <c r="AG53" i="24"/>
  <c r="AF53" i="24"/>
  <c r="AE53" i="24"/>
  <c r="AD53" i="24"/>
  <c r="AC53" i="24"/>
  <c r="AB53" i="24"/>
  <c r="AA53" i="24"/>
  <c r="Z53" i="24"/>
  <c r="Y53" i="24"/>
  <c r="X53" i="24"/>
  <c r="W53" i="24"/>
  <c r="V53" i="24"/>
  <c r="U53" i="24"/>
  <c r="T53" i="24"/>
  <c r="R53" i="24"/>
  <c r="Q53" i="24"/>
  <c r="AL52" i="24"/>
  <c r="AK52" i="24"/>
  <c r="AI52" i="24"/>
  <c r="AH52" i="24"/>
  <c r="AG52" i="24"/>
  <c r="AF52" i="24"/>
  <c r="AE52" i="24"/>
  <c r="AD52" i="24"/>
  <c r="AC52" i="24"/>
  <c r="AB52" i="24"/>
  <c r="AA52" i="24"/>
  <c r="Z52" i="24"/>
  <c r="Y52" i="24"/>
  <c r="X52" i="24"/>
  <c r="W52" i="24"/>
  <c r="V52" i="24"/>
  <c r="U52" i="24"/>
  <c r="T52" i="24"/>
  <c r="R52" i="24"/>
  <c r="Q52" i="24"/>
  <c r="AL51" i="24"/>
  <c r="AK51" i="24"/>
  <c r="AI51" i="24"/>
  <c r="AH51" i="24"/>
  <c r="AG51" i="24"/>
  <c r="AF51" i="24"/>
  <c r="AE51" i="24"/>
  <c r="AD51" i="24"/>
  <c r="AC51" i="24"/>
  <c r="AB51" i="24"/>
  <c r="AA51" i="24"/>
  <c r="Z51" i="24"/>
  <c r="Y51" i="24"/>
  <c r="X51" i="24"/>
  <c r="W51" i="24"/>
  <c r="V51" i="24"/>
  <c r="U51" i="24"/>
  <c r="T51" i="24"/>
  <c r="R51" i="24"/>
  <c r="Q51" i="24"/>
  <c r="AL50" i="24"/>
  <c r="AK50" i="24"/>
  <c r="AI50" i="24"/>
  <c r="AH50" i="24"/>
  <c r="AG50" i="24"/>
  <c r="AF50" i="24"/>
  <c r="AE50" i="24"/>
  <c r="AD50" i="24"/>
  <c r="AC50" i="24"/>
  <c r="AB50" i="24"/>
  <c r="AA50" i="24"/>
  <c r="Z50" i="24"/>
  <c r="Y50" i="24"/>
  <c r="X50" i="24"/>
  <c r="W50" i="24"/>
  <c r="V50" i="24"/>
  <c r="U50" i="24"/>
  <c r="T50" i="24"/>
  <c r="R50" i="24"/>
  <c r="Q50" i="24"/>
  <c r="AL49" i="24"/>
  <c r="AK49" i="24"/>
  <c r="AI49" i="24"/>
  <c r="AH49" i="24"/>
  <c r="AG49" i="24"/>
  <c r="AF49" i="24"/>
  <c r="AE49" i="24"/>
  <c r="AD49" i="24"/>
  <c r="AC49" i="24"/>
  <c r="AB49" i="24"/>
  <c r="AA49" i="24"/>
  <c r="Z49" i="24"/>
  <c r="Y49" i="24"/>
  <c r="X49" i="24"/>
  <c r="W49" i="24"/>
  <c r="V49" i="24"/>
  <c r="U49" i="24"/>
  <c r="T49" i="24"/>
  <c r="R49" i="24"/>
  <c r="Q49" i="24"/>
  <c r="AL48" i="24"/>
  <c r="AK48" i="24"/>
  <c r="AI48" i="24"/>
  <c r="AH48" i="24"/>
  <c r="AG48" i="24"/>
  <c r="AF48" i="24"/>
  <c r="AE48" i="24"/>
  <c r="AD48" i="24"/>
  <c r="AC48" i="24"/>
  <c r="AB48" i="24"/>
  <c r="AA48" i="24"/>
  <c r="Z48" i="24"/>
  <c r="Y48" i="24"/>
  <c r="X48" i="24"/>
  <c r="W48" i="24"/>
  <c r="V48" i="24"/>
  <c r="U48" i="24"/>
  <c r="T48" i="24"/>
  <c r="R48" i="24"/>
  <c r="Q48" i="24"/>
  <c r="AL47" i="24"/>
  <c r="AK47" i="24"/>
  <c r="AI47" i="24"/>
  <c r="AH47" i="24"/>
  <c r="AG47" i="24"/>
  <c r="AF47" i="24"/>
  <c r="AE47" i="24"/>
  <c r="AD47" i="24"/>
  <c r="AC47" i="24"/>
  <c r="AB47" i="24"/>
  <c r="AA47" i="24"/>
  <c r="Z47" i="24"/>
  <c r="Y47" i="24"/>
  <c r="X47" i="24"/>
  <c r="W47" i="24"/>
  <c r="V47" i="24"/>
  <c r="U47" i="24"/>
  <c r="T47" i="24"/>
  <c r="R47" i="24"/>
  <c r="Q47" i="24"/>
  <c r="AL46" i="24"/>
  <c r="AK46" i="24"/>
  <c r="AI46" i="24"/>
  <c r="AH46" i="24"/>
  <c r="AG46" i="24"/>
  <c r="AF46" i="24"/>
  <c r="AE46" i="24"/>
  <c r="AD46" i="24"/>
  <c r="AC46" i="24"/>
  <c r="AB46" i="24"/>
  <c r="AA46" i="24"/>
  <c r="Z46" i="24"/>
  <c r="Y46" i="24"/>
  <c r="X46" i="24"/>
  <c r="W46" i="24"/>
  <c r="V46" i="24"/>
  <c r="U46" i="24"/>
  <c r="T46" i="24"/>
  <c r="R46" i="24"/>
  <c r="Q46" i="24"/>
  <c r="AL45" i="24"/>
  <c r="AK45" i="24"/>
  <c r="AI45" i="24"/>
  <c r="AH45" i="24"/>
  <c r="AG45" i="24"/>
  <c r="AF45" i="24"/>
  <c r="AE45" i="24"/>
  <c r="AD45" i="24"/>
  <c r="AC45" i="24"/>
  <c r="AB45" i="24"/>
  <c r="AA45" i="24"/>
  <c r="Z45" i="24"/>
  <c r="Y45" i="24"/>
  <c r="X45" i="24"/>
  <c r="W45" i="24"/>
  <c r="V45" i="24"/>
  <c r="U45" i="24"/>
  <c r="T45" i="24"/>
  <c r="R45" i="24"/>
  <c r="Q45" i="24"/>
  <c r="AL44" i="24"/>
  <c r="AK44" i="24"/>
  <c r="AI44" i="24"/>
  <c r="AH44" i="24"/>
  <c r="AG44" i="24"/>
  <c r="AF44" i="24"/>
  <c r="AE44" i="24"/>
  <c r="AD44" i="24"/>
  <c r="AC44" i="24"/>
  <c r="AB44" i="24"/>
  <c r="AA44" i="24"/>
  <c r="Z44" i="24"/>
  <c r="Y44" i="24"/>
  <c r="X44" i="24"/>
  <c r="W44" i="24"/>
  <c r="V44" i="24"/>
  <c r="U44" i="24"/>
  <c r="T44" i="24"/>
  <c r="R44" i="24"/>
  <c r="Q44" i="24"/>
  <c r="AL43" i="24"/>
  <c r="AK43" i="24"/>
  <c r="AI43" i="24"/>
  <c r="AH43" i="24"/>
  <c r="AG43" i="24"/>
  <c r="AF43" i="24"/>
  <c r="AE43" i="24"/>
  <c r="AD43" i="24"/>
  <c r="AC43" i="24"/>
  <c r="AB43" i="24"/>
  <c r="AA43" i="24"/>
  <c r="Z43" i="24"/>
  <c r="Y43" i="24"/>
  <c r="X43" i="24"/>
  <c r="W43" i="24"/>
  <c r="V43" i="24"/>
  <c r="U43" i="24"/>
  <c r="T43" i="24"/>
  <c r="R43" i="24"/>
  <c r="Q43" i="24"/>
  <c r="AL42" i="24"/>
  <c r="AK42" i="24"/>
  <c r="AI42" i="24"/>
  <c r="AH42" i="24"/>
  <c r="AG42" i="24"/>
  <c r="AF42" i="24"/>
  <c r="AE42" i="24"/>
  <c r="AD42" i="24"/>
  <c r="AC42" i="24"/>
  <c r="AB42" i="24"/>
  <c r="AA42" i="24"/>
  <c r="Z42" i="24"/>
  <c r="Y42" i="24"/>
  <c r="X42" i="24"/>
  <c r="W42" i="24"/>
  <c r="V42" i="24"/>
  <c r="U42" i="24"/>
  <c r="T42" i="24"/>
  <c r="R42" i="24"/>
  <c r="Q42" i="24"/>
  <c r="AL41" i="24"/>
  <c r="AK41" i="24"/>
  <c r="AI41" i="24"/>
  <c r="AH41" i="24"/>
  <c r="AG41" i="24"/>
  <c r="AF41" i="24"/>
  <c r="AE41" i="24"/>
  <c r="AD41" i="24"/>
  <c r="AC41" i="24"/>
  <c r="AB41" i="24"/>
  <c r="AA41" i="24"/>
  <c r="Z41" i="24"/>
  <c r="Y41" i="24"/>
  <c r="X41" i="24"/>
  <c r="W41" i="24"/>
  <c r="V41" i="24"/>
  <c r="U41" i="24"/>
  <c r="T41" i="24"/>
  <c r="R41" i="24"/>
  <c r="Q41" i="24"/>
  <c r="AL40" i="24"/>
  <c r="AK40" i="24"/>
  <c r="AI40" i="24"/>
  <c r="AH40" i="24"/>
  <c r="AG40" i="24"/>
  <c r="AF40" i="24"/>
  <c r="AE40" i="24"/>
  <c r="AD40" i="24"/>
  <c r="AC40" i="24"/>
  <c r="AB40" i="24"/>
  <c r="AA40" i="24"/>
  <c r="Z40" i="24"/>
  <c r="Y40" i="24"/>
  <c r="X40" i="24"/>
  <c r="W40" i="24"/>
  <c r="V40" i="24"/>
  <c r="U40" i="24"/>
  <c r="T40" i="24"/>
  <c r="R40" i="24"/>
  <c r="Q40" i="24"/>
  <c r="AL39" i="24"/>
  <c r="AK39" i="24"/>
  <c r="AI39" i="24"/>
  <c r="AH39" i="24"/>
  <c r="AG39" i="24"/>
  <c r="AF39" i="24"/>
  <c r="AE39" i="24"/>
  <c r="AD39" i="24"/>
  <c r="AC39" i="24"/>
  <c r="AB39" i="24"/>
  <c r="AA39" i="24"/>
  <c r="Z39" i="24"/>
  <c r="Y39" i="24"/>
  <c r="X39" i="24"/>
  <c r="W39" i="24"/>
  <c r="V39" i="24"/>
  <c r="U39" i="24"/>
  <c r="T39" i="24"/>
  <c r="R39" i="24"/>
  <c r="Q39" i="24"/>
  <c r="AL38" i="24"/>
  <c r="AK38" i="24"/>
  <c r="AI38" i="24"/>
  <c r="AH38" i="24"/>
  <c r="AG38" i="24"/>
  <c r="AF38" i="24"/>
  <c r="AE38" i="24"/>
  <c r="AD38" i="24"/>
  <c r="AC38" i="24"/>
  <c r="AB38" i="24"/>
  <c r="AA38" i="24"/>
  <c r="Z38" i="24"/>
  <c r="Y38" i="24"/>
  <c r="X38" i="24"/>
  <c r="W38" i="24"/>
  <c r="V38" i="24"/>
  <c r="U38" i="24"/>
  <c r="T38" i="24"/>
  <c r="R38" i="24"/>
  <c r="Q38" i="24"/>
  <c r="AL37" i="24"/>
  <c r="AK37" i="24"/>
  <c r="AI37" i="24"/>
  <c r="AH37" i="24"/>
  <c r="AG37" i="24"/>
  <c r="AF37" i="24"/>
  <c r="AE37" i="24"/>
  <c r="AD37" i="24"/>
  <c r="AC37" i="24"/>
  <c r="AB37" i="24"/>
  <c r="AA37" i="24"/>
  <c r="Z37" i="24"/>
  <c r="Y37" i="24"/>
  <c r="X37" i="24"/>
  <c r="W37" i="24"/>
  <c r="V37" i="24"/>
  <c r="U37" i="24"/>
  <c r="T37" i="24"/>
  <c r="R37" i="24"/>
  <c r="Q37" i="24"/>
  <c r="AL36" i="24"/>
  <c r="AK36" i="24"/>
  <c r="AI36" i="24"/>
  <c r="AH36" i="24"/>
  <c r="AG36" i="24"/>
  <c r="AF36" i="24"/>
  <c r="AE36" i="24"/>
  <c r="AD36" i="24"/>
  <c r="AC36" i="24"/>
  <c r="AB36" i="24"/>
  <c r="AA36" i="24"/>
  <c r="Z36" i="24"/>
  <c r="Y36" i="24"/>
  <c r="X36" i="24"/>
  <c r="W36" i="24"/>
  <c r="V36" i="24"/>
  <c r="U36" i="24"/>
  <c r="T36" i="24"/>
  <c r="R36" i="24"/>
  <c r="Q36" i="24"/>
  <c r="AL35" i="24"/>
  <c r="AK35" i="24"/>
  <c r="AI35" i="24"/>
  <c r="AH35" i="24"/>
  <c r="AG35" i="24"/>
  <c r="AF35" i="24"/>
  <c r="AE35" i="24"/>
  <c r="AD35" i="24"/>
  <c r="AC35" i="24"/>
  <c r="AB35" i="24"/>
  <c r="AA35" i="24"/>
  <c r="Z35" i="24"/>
  <c r="Y35" i="24"/>
  <c r="X35" i="24"/>
  <c r="W35" i="24"/>
  <c r="V35" i="24"/>
  <c r="U35" i="24"/>
  <c r="T35" i="24"/>
  <c r="R35" i="24"/>
  <c r="Q35" i="24"/>
  <c r="N35" i="24"/>
  <c r="L35" i="24"/>
  <c r="AL34" i="24"/>
  <c r="AK34" i="24"/>
  <c r="AI34" i="24"/>
  <c r="AH34" i="24"/>
  <c r="AG34" i="24"/>
  <c r="AF34" i="24"/>
  <c r="AE34" i="24"/>
  <c r="AD34" i="24"/>
  <c r="AC34" i="24"/>
  <c r="AB34" i="24"/>
  <c r="AA34" i="24"/>
  <c r="Z34" i="24"/>
  <c r="Y34" i="24"/>
  <c r="X34" i="24"/>
  <c r="W34" i="24"/>
  <c r="V34" i="24"/>
  <c r="U34" i="24"/>
  <c r="T34" i="24"/>
  <c r="R34" i="24"/>
  <c r="Q34" i="24"/>
  <c r="AL33" i="24"/>
  <c r="AK33" i="24"/>
  <c r="AI33" i="24"/>
  <c r="AH33" i="24"/>
  <c r="AG33" i="24"/>
  <c r="AF33" i="24"/>
  <c r="AE33" i="24"/>
  <c r="AD33" i="24"/>
  <c r="AC33" i="24"/>
  <c r="AB33" i="24"/>
  <c r="AA33" i="24"/>
  <c r="Z33" i="24"/>
  <c r="Y33" i="24"/>
  <c r="X33" i="24"/>
  <c r="W33" i="24"/>
  <c r="V33" i="24"/>
  <c r="U33" i="24"/>
  <c r="T33" i="24"/>
  <c r="R33" i="24"/>
  <c r="Q33" i="24"/>
  <c r="AL32" i="24"/>
  <c r="AK32" i="24"/>
  <c r="AI32" i="24"/>
  <c r="AH32" i="24"/>
  <c r="AG32" i="24"/>
  <c r="AF32" i="24"/>
  <c r="AE32" i="24"/>
  <c r="AD32" i="24"/>
  <c r="AC32" i="24"/>
  <c r="AB32" i="24"/>
  <c r="AA32" i="24"/>
  <c r="Z32" i="24"/>
  <c r="Y32" i="24"/>
  <c r="X32" i="24"/>
  <c r="W32" i="24"/>
  <c r="V32" i="24"/>
  <c r="U32" i="24"/>
  <c r="T32" i="24"/>
  <c r="R32" i="24"/>
  <c r="Q32" i="24"/>
  <c r="AL31" i="24"/>
  <c r="AK31" i="24"/>
  <c r="AI31" i="24"/>
  <c r="AH31" i="24"/>
  <c r="AG31" i="24"/>
  <c r="AF31" i="24"/>
  <c r="AE31" i="24"/>
  <c r="AD31" i="24"/>
  <c r="AC31" i="24"/>
  <c r="AB31" i="24"/>
  <c r="AA31" i="24"/>
  <c r="Z31" i="24"/>
  <c r="Y31" i="24"/>
  <c r="X31" i="24"/>
  <c r="W31" i="24"/>
  <c r="V31" i="24"/>
  <c r="U31" i="24"/>
  <c r="T31" i="24"/>
  <c r="R31" i="24"/>
  <c r="Q31" i="24"/>
  <c r="AL30" i="24"/>
  <c r="AK30" i="24"/>
  <c r="AI30" i="24"/>
  <c r="AH30" i="24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R30" i="24"/>
  <c r="Q30" i="24"/>
  <c r="AL29" i="24"/>
  <c r="AK29" i="24"/>
  <c r="AI29" i="24"/>
  <c r="AH29" i="24"/>
  <c r="AG29" i="24"/>
  <c r="AF29" i="24"/>
  <c r="AE29" i="24"/>
  <c r="AD29" i="24"/>
  <c r="AC29" i="24"/>
  <c r="AB29" i="24"/>
  <c r="AA29" i="24"/>
  <c r="Z29" i="24"/>
  <c r="Y29" i="24"/>
  <c r="X29" i="24"/>
  <c r="W29" i="24"/>
  <c r="V29" i="24"/>
  <c r="U29" i="24"/>
  <c r="T29" i="24"/>
  <c r="R29" i="24"/>
  <c r="Q29" i="24"/>
  <c r="AL28" i="24"/>
  <c r="AK28" i="24"/>
  <c r="AI28" i="24"/>
  <c r="AH28" i="24"/>
  <c r="AG28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R28" i="24"/>
  <c r="Q28" i="24"/>
  <c r="AL27" i="24"/>
  <c r="AK27" i="24"/>
  <c r="AI27" i="24"/>
  <c r="AH27" i="24"/>
  <c r="AG27" i="24"/>
  <c r="AF27" i="24"/>
  <c r="AE27" i="24"/>
  <c r="AD27" i="24"/>
  <c r="AC27" i="24"/>
  <c r="AB27" i="24"/>
  <c r="AA27" i="24"/>
  <c r="Z27" i="24"/>
  <c r="Y27" i="24"/>
  <c r="X27" i="24"/>
  <c r="W27" i="24"/>
  <c r="V27" i="24"/>
  <c r="U27" i="24"/>
  <c r="T27" i="24"/>
  <c r="R27" i="24"/>
  <c r="Q27" i="24"/>
  <c r="E27" i="24"/>
  <c r="AL26" i="24"/>
  <c r="AK26" i="24"/>
  <c r="AI26" i="24"/>
  <c r="AH26" i="24"/>
  <c r="AG26" i="24"/>
  <c r="AF26" i="24"/>
  <c r="AE26" i="24"/>
  <c r="AD26" i="24"/>
  <c r="AC26" i="24"/>
  <c r="AB26" i="24"/>
  <c r="AA26" i="24"/>
  <c r="Z26" i="24"/>
  <c r="Y26" i="24"/>
  <c r="X26" i="24"/>
  <c r="W26" i="24"/>
  <c r="V26" i="24"/>
  <c r="U26" i="24"/>
  <c r="T26" i="24"/>
  <c r="R26" i="24"/>
  <c r="Q26" i="24"/>
  <c r="AL25" i="24"/>
  <c r="AK25" i="24"/>
  <c r="AI25" i="24"/>
  <c r="AH25" i="24"/>
  <c r="AG25" i="24"/>
  <c r="AF25" i="24"/>
  <c r="AE25" i="24"/>
  <c r="AD25" i="24"/>
  <c r="AC25" i="24"/>
  <c r="AB25" i="24"/>
  <c r="AA25" i="24"/>
  <c r="Z25" i="24"/>
  <c r="Y25" i="24"/>
  <c r="X25" i="24"/>
  <c r="W25" i="24"/>
  <c r="V25" i="24"/>
  <c r="U25" i="24"/>
  <c r="T25" i="24"/>
  <c r="R25" i="24"/>
  <c r="Q25" i="24"/>
  <c r="AL24" i="24"/>
  <c r="AK24" i="24"/>
  <c r="AI24" i="24"/>
  <c r="AH24" i="24"/>
  <c r="AG24" i="24"/>
  <c r="AF24" i="24"/>
  <c r="AE24" i="24"/>
  <c r="AD24" i="24"/>
  <c r="AC24" i="24"/>
  <c r="AB24" i="24"/>
  <c r="AA24" i="24"/>
  <c r="Z24" i="24"/>
  <c r="Y24" i="24"/>
  <c r="X24" i="24"/>
  <c r="W24" i="24"/>
  <c r="V24" i="24"/>
  <c r="U24" i="24"/>
  <c r="T24" i="24"/>
  <c r="R24" i="24"/>
  <c r="Q24" i="24"/>
  <c r="AL23" i="24"/>
  <c r="AK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V23" i="24"/>
  <c r="U23" i="24"/>
  <c r="T23" i="24"/>
  <c r="R23" i="24"/>
  <c r="Q23" i="24"/>
  <c r="AL22" i="24"/>
  <c r="AK22" i="24"/>
  <c r="AI22" i="24"/>
  <c r="AH22" i="24"/>
  <c r="AG22" i="24"/>
  <c r="AF22" i="24"/>
  <c r="AE22" i="24"/>
  <c r="AD22" i="24"/>
  <c r="AC22" i="24"/>
  <c r="AB22" i="24"/>
  <c r="AA22" i="24"/>
  <c r="Z22" i="24"/>
  <c r="Y22" i="24"/>
  <c r="X22" i="24"/>
  <c r="W22" i="24"/>
  <c r="V22" i="24"/>
  <c r="U22" i="24"/>
  <c r="T22" i="24"/>
  <c r="R22" i="24"/>
  <c r="Q22" i="24"/>
  <c r="AL21" i="24"/>
  <c r="AK21" i="24"/>
  <c r="AI21" i="24"/>
  <c r="AH21" i="24"/>
  <c r="AG21" i="24"/>
  <c r="AF21" i="24"/>
  <c r="AE21" i="24"/>
  <c r="AD21" i="24"/>
  <c r="AC21" i="24"/>
  <c r="AB21" i="24"/>
  <c r="AA21" i="24"/>
  <c r="Z21" i="24"/>
  <c r="Y21" i="24"/>
  <c r="X21" i="24"/>
  <c r="W21" i="24"/>
  <c r="V21" i="24"/>
  <c r="U21" i="24"/>
  <c r="T21" i="24"/>
  <c r="R21" i="24"/>
  <c r="Q21" i="24"/>
  <c r="AL20" i="24"/>
  <c r="AK20" i="24"/>
  <c r="AI20" i="24"/>
  <c r="AH20" i="24"/>
  <c r="AG20" i="24"/>
  <c r="AF20" i="24"/>
  <c r="AE20" i="24"/>
  <c r="AD20" i="24"/>
  <c r="AC20" i="24"/>
  <c r="AB20" i="24"/>
  <c r="AA20" i="24"/>
  <c r="Z20" i="24"/>
  <c r="Y20" i="24"/>
  <c r="X20" i="24"/>
  <c r="W20" i="24"/>
  <c r="V20" i="24"/>
  <c r="U20" i="24"/>
  <c r="T20" i="24"/>
  <c r="R20" i="24"/>
  <c r="Q20" i="24"/>
  <c r="AL19" i="24"/>
  <c r="AK19" i="24"/>
  <c r="AI19" i="24"/>
  <c r="AH19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R19" i="24"/>
  <c r="Q19" i="24"/>
  <c r="AL18" i="24"/>
  <c r="AK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R18" i="24"/>
  <c r="Q18" i="24"/>
  <c r="AX17" i="24"/>
  <c r="AV17" i="24"/>
  <c r="AT17" i="24"/>
  <c r="AS17" i="24"/>
  <c r="AR17" i="24"/>
  <c r="AP17" i="24"/>
  <c r="AO17" i="24"/>
  <c r="AN17" i="24"/>
  <c r="AL17" i="24"/>
  <c r="AK17" i="24"/>
  <c r="AI17" i="24"/>
  <c r="AH17" i="24"/>
  <c r="AG17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R17" i="24"/>
  <c r="Q17" i="24"/>
  <c r="AX16" i="24"/>
  <c r="AV16" i="24"/>
  <c r="AT16" i="24"/>
  <c r="AS16" i="24"/>
  <c r="AR16" i="24"/>
  <c r="AP16" i="24"/>
  <c r="AO16" i="24"/>
  <c r="AN16" i="24"/>
  <c r="AL16" i="24"/>
  <c r="AK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R16" i="24"/>
  <c r="Q16" i="24"/>
  <c r="AX15" i="24"/>
  <c r="AV15" i="24"/>
  <c r="AT15" i="24"/>
  <c r="AS15" i="24"/>
  <c r="AR15" i="24"/>
  <c r="AP15" i="24"/>
  <c r="AO15" i="24"/>
  <c r="AN15" i="24"/>
  <c r="AL15" i="24"/>
  <c r="AK15" i="24"/>
  <c r="AI15" i="24"/>
  <c r="AH15" i="24"/>
  <c r="AG15" i="24"/>
  <c r="AF15" i="24"/>
  <c r="AE15" i="24"/>
  <c r="AD15" i="24"/>
  <c r="AC15" i="24"/>
  <c r="AB15" i="24"/>
  <c r="AA15" i="24"/>
  <c r="Z15" i="24"/>
  <c r="Y15" i="24"/>
  <c r="X15" i="24"/>
  <c r="W15" i="24"/>
  <c r="V15" i="24"/>
  <c r="U15" i="24"/>
  <c r="T15" i="24"/>
  <c r="R15" i="24"/>
  <c r="Q15" i="24"/>
  <c r="AX14" i="24"/>
  <c r="AV14" i="24"/>
  <c r="AT14" i="24"/>
  <c r="AS14" i="24"/>
  <c r="AR14" i="24"/>
  <c r="AP14" i="24"/>
  <c r="AO14" i="24"/>
  <c r="AN14" i="24"/>
  <c r="AL14" i="24"/>
  <c r="AK14" i="24"/>
  <c r="AI14" i="24"/>
  <c r="AH14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R14" i="24"/>
  <c r="Q14" i="24"/>
  <c r="L14" i="24"/>
  <c r="AX13" i="24"/>
  <c r="AV13" i="24"/>
  <c r="AT13" i="24"/>
  <c r="AS13" i="24"/>
  <c r="AR13" i="24"/>
  <c r="AP13" i="24"/>
  <c r="AO13" i="24"/>
  <c r="AN13" i="24"/>
  <c r="AL13" i="24"/>
  <c r="AK13" i="24"/>
  <c r="AI13" i="24"/>
  <c r="AH13" i="24"/>
  <c r="AG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R13" i="24"/>
  <c r="Q13" i="24"/>
  <c r="AX12" i="24"/>
  <c r="AV12" i="24"/>
  <c r="AT12" i="24"/>
  <c r="AS12" i="24"/>
  <c r="AR12" i="24"/>
  <c r="AP12" i="24"/>
  <c r="AO12" i="24"/>
  <c r="AN12" i="24"/>
  <c r="AL12" i="24"/>
  <c r="AK12" i="24"/>
  <c r="AI12" i="24"/>
  <c r="AH12" i="24"/>
  <c r="AG12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R12" i="24"/>
  <c r="Q12" i="24"/>
  <c r="AX11" i="24"/>
  <c r="AV11" i="24"/>
  <c r="AT11" i="24"/>
  <c r="AS11" i="24"/>
  <c r="AR11" i="24"/>
  <c r="AP11" i="24"/>
  <c r="AO11" i="24"/>
  <c r="AN11" i="24"/>
  <c r="AL11" i="24"/>
  <c r="AK11" i="24"/>
  <c r="AI11" i="24"/>
  <c r="AH11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R11" i="24"/>
  <c r="Q11" i="24"/>
  <c r="AX10" i="24"/>
  <c r="AV10" i="24"/>
  <c r="AT10" i="24"/>
  <c r="AS10" i="24"/>
  <c r="AR10" i="24"/>
  <c r="AP10" i="24"/>
  <c r="AO10" i="24"/>
  <c r="AN10" i="24"/>
  <c r="AL10" i="24"/>
  <c r="AK10" i="24"/>
  <c r="AI10" i="24"/>
  <c r="AH10" i="24"/>
  <c r="AG10" i="24"/>
  <c r="AF10" i="24"/>
  <c r="AE10" i="24"/>
  <c r="AD10" i="24"/>
  <c r="AC10" i="24"/>
  <c r="AB10" i="24"/>
  <c r="AA10" i="24"/>
  <c r="Z10" i="24"/>
  <c r="Y10" i="24"/>
  <c r="X10" i="24"/>
  <c r="W10" i="24"/>
  <c r="V10" i="24"/>
  <c r="U10" i="24"/>
  <c r="T10" i="24"/>
  <c r="R10" i="24"/>
  <c r="Q10" i="24"/>
  <c r="AX9" i="24"/>
  <c r="AV9" i="24"/>
  <c r="AT9" i="24"/>
  <c r="AS9" i="24"/>
  <c r="AR9" i="24"/>
  <c r="AP9" i="24"/>
  <c r="AO9" i="24"/>
  <c r="AN9" i="24"/>
  <c r="AL9" i="24"/>
  <c r="AK9" i="24"/>
  <c r="AI9" i="24"/>
  <c r="AH9" i="24"/>
  <c r="AG9" i="24"/>
  <c r="AF9" i="24"/>
  <c r="AE9" i="24"/>
  <c r="AD9" i="24"/>
  <c r="AC9" i="24"/>
  <c r="AB9" i="24"/>
  <c r="AA9" i="24"/>
  <c r="Z9" i="24"/>
  <c r="Y9" i="24"/>
  <c r="X9" i="24"/>
  <c r="W9" i="24"/>
  <c r="V9" i="24"/>
  <c r="U9" i="24"/>
  <c r="T9" i="24"/>
  <c r="R9" i="24"/>
  <c r="Q9" i="24"/>
  <c r="AX8" i="24"/>
  <c r="AV8" i="24"/>
  <c r="AT8" i="24"/>
  <c r="AS8" i="24"/>
  <c r="AR8" i="24"/>
  <c r="AP8" i="24"/>
  <c r="AO8" i="24"/>
  <c r="AN8" i="24"/>
  <c r="AL8" i="24"/>
  <c r="AK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R8" i="24"/>
  <c r="Q8" i="24"/>
  <c r="AX7" i="24"/>
  <c r="AV7" i="24"/>
  <c r="AT7" i="24"/>
  <c r="AS7" i="24"/>
  <c r="AR7" i="24"/>
  <c r="AP7" i="24"/>
  <c r="AO7" i="24"/>
  <c r="AN7" i="24"/>
  <c r="AL7" i="24"/>
  <c r="AK7" i="24"/>
  <c r="AI7" i="24"/>
  <c r="AH7" i="24"/>
  <c r="AG7" i="24"/>
  <c r="AF7" i="24"/>
  <c r="AE7" i="24"/>
  <c r="AD7" i="24"/>
  <c r="AC7" i="24"/>
  <c r="AB7" i="24"/>
  <c r="AA7" i="24"/>
  <c r="Z7" i="24"/>
  <c r="Y7" i="24"/>
  <c r="X7" i="24"/>
  <c r="W7" i="24"/>
  <c r="V7" i="24"/>
  <c r="U7" i="24"/>
  <c r="T7" i="24"/>
  <c r="R7" i="24"/>
  <c r="Q7" i="24"/>
  <c r="AV6" i="24"/>
  <c r="AT6" i="24"/>
  <c r="AS6" i="24"/>
  <c r="AP6" i="24"/>
  <c r="AO6" i="24"/>
  <c r="AN6" i="24"/>
  <c r="AL6" i="24"/>
  <c r="AK6" i="24"/>
  <c r="AI6" i="24"/>
  <c r="AH6" i="24"/>
  <c r="AG6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R6" i="24"/>
  <c r="Q6" i="24"/>
  <c r="AL5" i="24"/>
  <c r="AK5" i="24"/>
  <c r="AI5" i="24"/>
  <c r="AH5" i="24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R5" i="24"/>
  <c r="Q5" i="24"/>
  <c r="AL4" i="24"/>
  <c r="AK4" i="24"/>
  <c r="AI4" i="24"/>
  <c r="AH4" i="24"/>
  <c r="AG4" i="24"/>
  <c r="AF4" i="24"/>
  <c r="AE4" i="24"/>
  <c r="AD4" i="24"/>
  <c r="AC4" i="24"/>
  <c r="AB4" i="24"/>
  <c r="AA4" i="24"/>
  <c r="Z4" i="24"/>
  <c r="Y4" i="24"/>
  <c r="X4" i="24"/>
  <c r="W4" i="24"/>
  <c r="V4" i="24"/>
  <c r="U4" i="24"/>
  <c r="T4" i="24"/>
  <c r="R4" i="24"/>
  <c r="Q4" i="24"/>
  <c r="AK2" i="24"/>
  <c r="AI2" i="24"/>
  <c r="AH2" i="24"/>
  <c r="AG2" i="24"/>
  <c r="AF2" i="24"/>
  <c r="AE2" i="24"/>
  <c r="AD2" i="24"/>
  <c r="AC2" i="24"/>
  <c r="AB2" i="24"/>
  <c r="AA2" i="24"/>
  <c r="Z2" i="24"/>
  <c r="Y2" i="24"/>
  <c r="X2" i="24"/>
  <c r="W2" i="24"/>
  <c r="V2" i="24"/>
  <c r="U2" i="24"/>
  <c r="T2" i="24"/>
  <c r="E2" i="24"/>
  <c r="P1" i="24"/>
  <c r="O1" i="24"/>
  <c r="N1" i="24"/>
  <c r="M1" i="24"/>
  <c r="L1" i="24"/>
  <c r="K1" i="24"/>
  <c r="J1" i="24"/>
  <c r="I1" i="24"/>
  <c r="H1" i="24"/>
  <c r="G1" i="24"/>
  <c r="F1" i="24"/>
  <c r="E1" i="24"/>
  <c r="Z130" i="22"/>
  <c r="Y130" i="22"/>
  <c r="X130" i="22"/>
  <c r="W130" i="22"/>
  <c r="V130" i="22"/>
  <c r="U130" i="22"/>
  <c r="Z127" i="22"/>
  <c r="Y127" i="22"/>
  <c r="X127" i="22"/>
  <c r="W127" i="22"/>
  <c r="V127" i="22"/>
  <c r="U127" i="22"/>
  <c r="Z126" i="22"/>
  <c r="Y126" i="22"/>
  <c r="X126" i="22"/>
  <c r="W126" i="22"/>
  <c r="V126" i="22"/>
  <c r="U126" i="22"/>
  <c r="Z125" i="22"/>
  <c r="Y125" i="22"/>
  <c r="X125" i="22"/>
  <c r="W125" i="22"/>
  <c r="V125" i="22"/>
  <c r="U125" i="22"/>
  <c r="Z124" i="22"/>
  <c r="Y124" i="22"/>
  <c r="X124" i="22"/>
  <c r="W124" i="22"/>
  <c r="V124" i="22"/>
  <c r="U124" i="22"/>
  <c r="Z123" i="22"/>
  <c r="Y123" i="22"/>
  <c r="X123" i="22"/>
  <c r="W123" i="22"/>
  <c r="V123" i="22"/>
  <c r="U123" i="22"/>
  <c r="Z122" i="22"/>
  <c r="Y122" i="22"/>
  <c r="X122" i="22"/>
  <c r="W122" i="22"/>
  <c r="V122" i="22"/>
  <c r="U122" i="22"/>
  <c r="Z121" i="22"/>
  <c r="Y121" i="22"/>
  <c r="X121" i="22"/>
  <c r="W121" i="22"/>
  <c r="V121" i="22"/>
  <c r="U121" i="22"/>
  <c r="Z120" i="22"/>
  <c r="Y120" i="22"/>
  <c r="X120" i="22"/>
  <c r="W120" i="22"/>
  <c r="V120" i="22"/>
  <c r="U120" i="22"/>
  <c r="BI119" i="22"/>
  <c r="BH119" i="22"/>
  <c r="BG119" i="22"/>
  <c r="BF119" i="22"/>
  <c r="BE119" i="22"/>
  <c r="BD119" i="22"/>
  <c r="BC119" i="22"/>
  <c r="BB119" i="22"/>
  <c r="BA119" i="22"/>
  <c r="AZ119" i="22"/>
  <c r="AY119" i="22"/>
  <c r="AX119" i="22"/>
  <c r="AW119" i="22"/>
  <c r="AV119" i="22"/>
  <c r="AT119" i="22"/>
  <c r="AS119" i="22"/>
  <c r="AR119" i="22"/>
  <c r="AQ119" i="22"/>
  <c r="AP119" i="22"/>
  <c r="AO119" i="22"/>
  <c r="AN119" i="22"/>
  <c r="AM119" i="22"/>
  <c r="AL119" i="22"/>
  <c r="AK119" i="22"/>
  <c r="AJ119" i="22"/>
  <c r="AI119" i="22"/>
  <c r="AH119" i="22"/>
  <c r="AG119" i="22"/>
  <c r="AF119" i="22"/>
  <c r="AE119" i="22"/>
  <c r="AD119" i="22"/>
  <c r="Z119" i="22"/>
  <c r="Y119" i="22"/>
  <c r="X119" i="22"/>
  <c r="W119" i="22"/>
  <c r="V119" i="22"/>
  <c r="U119" i="22"/>
  <c r="BI118" i="22"/>
  <c r="BH118" i="22"/>
  <c r="BG118" i="22"/>
  <c r="BF118" i="22"/>
  <c r="BE118" i="22"/>
  <c r="BD118" i="22"/>
  <c r="BC118" i="22"/>
  <c r="BB118" i="22"/>
  <c r="BA118" i="22"/>
  <c r="AZ118" i="22"/>
  <c r="AY118" i="22"/>
  <c r="AX118" i="22"/>
  <c r="AW118" i="22"/>
  <c r="AV118" i="22"/>
  <c r="AT118" i="22"/>
  <c r="AS118" i="22"/>
  <c r="AR118" i="22"/>
  <c r="AQ118" i="22"/>
  <c r="AP118" i="22"/>
  <c r="AO118" i="22"/>
  <c r="AN118" i="22"/>
  <c r="AM118" i="22"/>
  <c r="AL118" i="22"/>
  <c r="AK118" i="22"/>
  <c r="AJ118" i="22"/>
  <c r="AI118" i="22"/>
  <c r="AH118" i="22"/>
  <c r="AG118" i="22"/>
  <c r="AF118" i="22"/>
  <c r="AE118" i="22"/>
  <c r="AD118" i="22"/>
  <c r="AB118" i="22"/>
  <c r="AA118" i="22"/>
  <c r="Z118" i="22"/>
  <c r="Y118" i="22"/>
  <c r="X118" i="22"/>
  <c r="W118" i="22"/>
  <c r="V118" i="22"/>
  <c r="U118" i="22"/>
  <c r="T118" i="22"/>
  <c r="S118" i="22"/>
  <c r="R118" i="22"/>
  <c r="Q118" i="22"/>
  <c r="P118" i="22"/>
  <c r="O118" i="22"/>
  <c r="H118" i="22"/>
  <c r="BI116" i="22"/>
  <c r="BH116" i="22"/>
  <c r="BG116" i="22"/>
  <c r="BF116" i="22"/>
  <c r="BE116" i="22"/>
  <c r="BD116" i="22"/>
  <c r="BC116" i="22"/>
  <c r="BB116" i="22"/>
  <c r="BA116" i="22"/>
  <c r="AZ116" i="22"/>
  <c r="AY116" i="22"/>
  <c r="AX116" i="22"/>
  <c r="AW116" i="22"/>
  <c r="AV116" i="22"/>
  <c r="AT116" i="22"/>
  <c r="AS116" i="22"/>
  <c r="AR116" i="22"/>
  <c r="AQ116" i="22"/>
  <c r="AP116" i="22"/>
  <c r="AO116" i="22"/>
  <c r="AN116" i="22"/>
  <c r="AM116" i="22"/>
  <c r="AL116" i="22"/>
  <c r="AK116" i="22"/>
  <c r="AJ116" i="22"/>
  <c r="AI116" i="22"/>
  <c r="AH116" i="22"/>
  <c r="AG116" i="22"/>
  <c r="AF116" i="22"/>
  <c r="AE116" i="22"/>
  <c r="AD116" i="22"/>
  <c r="AB116" i="22"/>
  <c r="AA116" i="22"/>
  <c r="BI115" i="22"/>
  <c r="BH115" i="22"/>
  <c r="BG115" i="22"/>
  <c r="BF115" i="22"/>
  <c r="BE115" i="22"/>
  <c r="BD115" i="22"/>
  <c r="BC115" i="22"/>
  <c r="BB115" i="22"/>
  <c r="BA115" i="22"/>
  <c r="AZ115" i="22"/>
  <c r="AY115" i="22"/>
  <c r="AX115" i="22"/>
  <c r="AW115" i="22"/>
  <c r="AV115" i="22"/>
  <c r="AT115" i="22"/>
  <c r="AS115" i="22"/>
  <c r="AR115" i="22"/>
  <c r="AQ115" i="22"/>
  <c r="AP115" i="22"/>
  <c r="AO115" i="22"/>
  <c r="AN115" i="22"/>
  <c r="AM115" i="22"/>
  <c r="AL115" i="22"/>
  <c r="AK115" i="22"/>
  <c r="AJ115" i="22"/>
  <c r="AI115" i="22"/>
  <c r="AH115" i="22"/>
  <c r="AG115" i="22"/>
  <c r="AF115" i="22"/>
  <c r="AE115" i="22"/>
  <c r="AD115" i="22"/>
  <c r="AB115" i="22"/>
  <c r="AA115" i="22"/>
  <c r="BI114" i="22"/>
  <c r="BH114" i="22"/>
  <c r="BG114" i="22"/>
  <c r="BF114" i="22"/>
  <c r="BE114" i="22"/>
  <c r="BD114" i="22"/>
  <c r="BC114" i="22"/>
  <c r="BB114" i="22"/>
  <c r="BA114" i="22"/>
  <c r="AZ114" i="22"/>
  <c r="AY114" i="22"/>
  <c r="AX114" i="22"/>
  <c r="AW114" i="22"/>
  <c r="AV114" i="22"/>
  <c r="AT114" i="22"/>
  <c r="AS114" i="22"/>
  <c r="AR114" i="22"/>
  <c r="AQ114" i="22"/>
  <c r="AP114" i="22"/>
  <c r="AO114" i="22"/>
  <c r="AN114" i="22"/>
  <c r="AM114" i="22"/>
  <c r="AL114" i="22"/>
  <c r="AK114" i="22"/>
  <c r="AJ114" i="22"/>
  <c r="AI114" i="22"/>
  <c r="AH114" i="22"/>
  <c r="AG114" i="22"/>
  <c r="AF114" i="22"/>
  <c r="AE114" i="22"/>
  <c r="AD114" i="22"/>
  <c r="AB114" i="22"/>
  <c r="AA114" i="22"/>
  <c r="BI113" i="22"/>
  <c r="BH113" i="22"/>
  <c r="BG113" i="22"/>
  <c r="BF113" i="22"/>
  <c r="BE113" i="22"/>
  <c r="BD113" i="22"/>
  <c r="BC113" i="22"/>
  <c r="BB113" i="22"/>
  <c r="BA113" i="22"/>
  <c r="AZ113" i="22"/>
  <c r="AY113" i="22"/>
  <c r="AX113" i="22"/>
  <c r="AW113" i="22"/>
  <c r="AV113" i="22"/>
  <c r="AT113" i="22"/>
  <c r="AS113" i="22"/>
  <c r="AR113" i="22"/>
  <c r="AQ113" i="22"/>
  <c r="AP113" i="22"/>
  <c r="AO113" i="22"/>
  <c r="AN113" i="22"/>
  <c r="AM113" i="22"/>
  <c r="AL113" i="22"/>
  <c r="AK113" i="22"/>
  <c r="AJ113" i="22"/>
  <c r="AI113" i="22"/>
  <c r="AH113" i="22"/>
  <c r="AG113" i="22"/>
  <c r="AF113" i="22"/>
  <c r="AE113" i="22"/>
  <c r="AD113" i="22"/>
  <c r="AB113" i="22"/>
  <c r="AA113" i="22"/>
  <c r="BI112" i="22"/>
  <c r="BH112" i="22"/>
  <c r="BG112" i="22"/>
  <c r="BF112" i="22"/>
  <c r="BE112" i="22"/>
  <c r="BD112" i="22"/>
  <c r="BC112" i="22"/>
  <c r="BB112" i="22"/>
  <c r="BA112" i="22"/>
  <c r="AZ112" i="22"/>
  <c r="AY112" i="22"/>
  <c r="AX112" i="22"/>
  <c r="AW112" i="22"/>
  <c r="AV112" i="22"/>
  <c r="AT112" i="22"/>
  <c r="AS112" i="22"/>
  <c r="AR112" i="22"/>
  <c r="AQ112" i="22"/>
  <c r="AP112" i="22"/>
  <c r="AO112" i="22"/>
  <c r="AN112" i="22"/>
  <c r="AM112" i="22"/>
  <c r="AL112" i="22"/>
  <c r="AK112" i="22"/>
  <c r="AJ112" i="22"/>
  <c r="AI112" i="22"/>
  <c r="AH112" i="22"/>
  <c r="AG112" i="22"/>
  <c r="AF112" i="22"/>
  <c r="AE112" i="22"/>
  <c r="AD112" i="22"/>
  <c r="AB112" i="22"/>
  <c r="AA112" i="22"/>
  <c r="BI111" i="22"/>
  <c r="BH111" i="22"/>
  <c r="BG111" i="22"/>
  <c r="BF111" i="22"/>
  <c r="BE111" i="22"/>
  <c r="BD111" i="22"/>
  <c r="BC111" i="22"/>
  <c r="BB111" i="22"/>
  <c r="BA111" i="22"/>
  <c r="AZ111" i="22"/>
  <c r="AY111" i="22"/>
  <c r="AX111" i="22"/>
  <c r="AW111" i="22"/>
  <c r="AV111" i="22"/>
  <c r="AT111" i="22"/>
  <c r="AS111" i="22"/>
  <c r="AR111" i="22"/>
  <c r="AQ111" i="22"/>
  <c r="AP111" i="22"/>
  <c r="AO111" i="22"/>
  <c r="AN111" i="22"/>
  <c r="AM111" i="22"/>
  <c r="AL111" i="22"/>
  <c r="AK111" i="22"/>
  <c r="AJ111" i="22"/>
  <c r="AI111" i="22"/>
  <c r="AH111" i="22"/>
  <c r="AG111" i="22"/>
  <c r="AF111" i="22"/>
  <c r="AE111" i="22"/>
  <c r="AD111" i="22"/>
  <c r="AB111" i="22"/>
  <c r="AA111" i="22"/>
  <c r="X111" i="22"/>
  <c r="BI110" i="22"/>
  <c r="BH110" i="22"/>
  <c r="BG110" i="22"/>
  <c r="BF110" i="22"/>
  <c r="BE110" i="22"/>
  <c r="BD110" i="22"/>
  <c r="BC110" i="22"/>
  <c r="BB110" i="22"/>
  <c r="BA110" i="22"/>
  <c r="AZ110" i="22"/>
  <c r="AY110" i="22"/>
  <c r="AX110" i="22"/>
  <c r="AW110" i="22"/>
  <c r="AV110" i="22"/>
  <c r="AT110" i="22"/>
  <c r="AS110" i="22"/>
  <c r="AR110" i="22"/>
  <c r="AQ110" i="22"/>
  <c r="AP110" i="22"/>
  <c r="AO110" i="22"/>
  <c r="AN110" i="22"/>
  <c r="AM110" i="22"/>
  <c r="AL110" i="22"/>
  <c r="AK110" i="22"/>
  <c r="AJ110" i="22"/>
  <c r="AI110" i="22"/>
  <c r="AH110" i="22"/>
  <c r="AG110" i="22"/>
  <c r="AF110" i="22"/>
  <c r="AE110" i="22"/>
  <c r="AD110" i="22"/>
  <c r="AB110" i="22"/>
  <c r="AA110" i="22"/>
  <c r="X110" i="22"/>
  <c r="BI109" i="22"/>
  <c r="BH109" i="22"/>
  <c r="BG109" i="22"/>
  <c r="BF109" i="22"/>
  <c r="BE109" i="22"/>
  <c r="BD109" i="22"/>
  <c r="BC109" i="22"/>
  <c r="BB109" i="22"/>
  <c r="BA109" i="22"/>
  <c r="AZ109" i="22"/>
  <c r="AY109" i="22"/>
  <c r="AX109" i="22"/>
  <c r="AW109" i="22"/>
  <c r="AV109" i="22"/>
  <c r="AT109" i="22"/>
  <c r="AS109" i="22"/>
  <c r="AR109" i="22"/>
  <c r="AQ109" i="22"/>
  <c r="AP109" i="22"/>
  <c r="AO109" i="22"/>
  <c r="AN109" i="22"/>
  <c r="AM109" i="22"/>
  <c r="AL109" i="22"/>
  <c r="AK109" i="22"/>
  <c r="AJ109" i="22"/>
  <c r="AI109" i="22"/>
  <c r="AH109" i="22"/>
  <c r="AG109" i="22"/>
  <c r="AF109" i="22"/>
  <c r="AE109" i="22"/>
  <c r="AD109" i="22"/>
  <c r="AB109" i="22"/>
  <c r="AA109" i="22"/>
  <c r="BI108" i="22"/>
  <c r="BH108" i="22"/>
  <c r="BG108" i="22"/>
  <c r="BF108" i="22"/>
  <c r="BE108" i="22"/>
  <c r="BD108" i="22"/>
  <c r="BC108" i="22"/>
  <c r="BB108" i="22"/>
  <c r="BA108" i="22"/>
  <c r="AZ108" i="22"/>
  <c r="AY108" i="22"/>
  <c r="AX108" i="22"/>
  <c r="AW108" i="22"/>
  <c r="AV108" i="22"/>
  <c r="AT108" i="22"/>
  <c r="AS108" i="22"/>
  <c r="AR108" i="22"/>
  <c r="AQ108" i="22"/>
  <c r="AP108" i="22"/>
  <c r="AO108" i="22"/>
  <c r="AN108" i="22"/>
  <c r="AM108" i="22"/>
  <c r="AL108" i="22"/>
  <c r="AK108" i="22"/>
  <c r="AJ108" i="22"/>
  <c r="AI108" i="22"/>
  <c r="AH108" i="22"/>
  <c r="AG108" i="22"/>
  <c r="AF108" i="22"/>
  <c r="AE108" i="22"/>
  <c r="AD108" i="22"/>
  <c r="AB108" i="22"/>
  <c r="AA108" i="22"/>
  <c r="BI107" i="22"/>
  <c r="BH107" i="22"/>
  <c r="BG107" i="22"/>
  <c r="BF107" i="22"/>
  <c r="BE107" i="22"/>
  <c r="BD107" i="22"/>
  <c r="BC107" i="22"/>
  <c r="BB107" i="22"/>
  <c r="BA107" i="22"/>
  <c r="AZ107" i="22"/>
  <c r="AY107" i="22"/>
  <c r="AX107" i="22"/>
  <c r="AW107" i="22"/>
  <c r="AV107" i="22"/>
  <c r="AT107" i="22"/>
  <c r="AS107" i="22"/>
  <c r="AR107" i="22"/>
  <c r="AQ107" i="22"/>
  <c r="AP107" i="22"/>
  <c r="AO107" i="22"/>
  <c r="AN107" i="22"/>
  <c r="AM107" i="22"/>
  <c r="AL107" i="22"/>
  <c r="AK107" i="22"/>
  <c r="AJ107" i="22"/>
  <c r="AI107" i="22"/>
  <c r="AH107" i="22"/>
  <c r="AG107" i="22"/>
  <c r="AF107" i="22"/>
  <c r="AE107" i="22"/>
  <c r="AD107" i="22"/>
  <c r="AB107" i="22"/>
  <c r="AA107" i="22"/>
  <c r="BI106" i="22"/>
  <c r="BH106" i="22"/>
  <c r="BG106" i="22"/>
  <c r="BF106" i="22"/>
  <c r="BE106" i="22"/>
  <c r="BD106" i="22"/>
  <c r="BC106" i="22"/>
  <c r="BB106" i="22"/>
  <c r="BA106" i="22"/>
  <c r="AZ106" i="22"/>
  <c r="AY106" i="22"/>
  <c r="AX106" i="22"/>
  <c r="AW106" i="22"/>
  <c r="AV106" i="22"/>
  <c r="AT106" i="22"/>
  <c r="AS106" i="22"/>
  <c r="AR106" i="22"/>
  <c r="AQ106" i="22"/>
  <c r="AP106" i="22"/>
  <c r="AO106" i="22"/>
  <c r="AN106" i="22"/>
  <c r="AM106" i="22"/>
  <c r="AL106" i="22"/>
  <c r="AK106" i="22"/>
  <c r="AJ106" i="22"/>
  <c r="AI106" i="22"/>
  <c r="AH106" i="22"/>
  <c r="AG106" i="22"/>
  <c r="AF106" i="22"/>
  <c r="AE106" i="22"/>
  <c r="AD106" i="22"/>
  <c r="AB106" i="22"/>
  <c r="AA106" i="22"/>
  <c r="BI105" i="22"/>
  <c r="BH105" i="22"/>
  <c r="BG105" i="22"/>
  <c r="BF105" i="22"/>
  <c r="BE105" i="22"/>
  <c r="BD105" i="22"/>
  <c r="BC105" i="22"/>
  <c r="BB105" i="22"/>
  <c r="BA105" i="22"/>
  <c r="AZ105" i="22"/>
  <c r="AY105" i="22"/>
  <c r="AX105" i="22"/>
  <c r="AW105" i="22"/>
  <c r="AV105" i="22"/>
  <c r="AT105" i="22"/>
  <c r="AS105" i="22"/>
  <c r="AR105" i="22"/>
  <c r="AQ105" i="22"/>
  <c r="AP105" i="22"/>
  <c r="AO105" i="22"/>
  <c r="AN105" i="22"/>
  <c r="AM105" i="22"/>
  <c r="AL105" i="22"/>
  <c r="AK105" i="22"/>
  <c r="AJ105" i="22"/>
  <c r="AI105" i="22"/>
  <c r="AH105" i="22"/>
  <c r="AG105" i="22"/>
  <c r="AF105" i="22"/>
  <c r="AE105" i="22"/>
  <c r="AD105" i="22"/>
  <c r="AA105" i="22"/>
  <c r="BI104" i="22"/>
  <c r="BH104" i="22"/>
  <c r="BG104" i="22"/>
  <c r="BF104" i="22"/>
  <c r="BE104" i="22"/>
  <c r="BD104" i="22"/>
  <c r="BC104" i="22"/>
  <c r="BB104" i="22"/>
  <c r="BA104" i="22"/>
  <c r="AZ104" i="22"/>
  <c r="AY104" i="22"/>
  <c r="AX104" i="22"/>
  <c r="AW104" i="22"/>
  <c r="AV104" i="22"/>
  <c r="AT104" i="22"/>
  <c r="AS104" i="22"/>
  <c r="AR104" i="22"/>
  <c r="AQ104" i="22"/>
  <c r="AP104" i="22"/>
  <c r="AO104" i="22"/>
  <c r="AN104" i="22"/>
  <c r="AM104" i="22"/>
  <c r="AL104" i="22"/>
  <c r="AK104" i="22"/>
  <c r="AJ104" i="22"/>
  <c r="AI104" i="22"/>
  <c r="AH104" i="22"/>
  <c r="AG104" i="22"/>
  <c r="AF104" i="22"/>
  <c r="AE104" i="22"/>
  <c r="AD104" i="22"/>
  <c r="AB104" i="22"/>
  <c r="AA104" i="22"/>
  <c r="BI103" i="22"/>
  <c r="BH103" i="22"/>
  <c r="BG103" i="22"/>
  <c r="BF103" i="22"/>
  <c r="BE103" i="22"/>
  <c r="BD103" i="22"/>
  <c r="BC103" i="22"/>
  <c r="BB103" i="22"/>
  <c r="BA103" i="22"/>
  <c r="AZ103" i="22"/>
  <c r="AY103" i="22"/>
  <c r="AX103" i="22"/>
  <c r="AW103" i="22"/>
  <c r="AV103" i="22"/>
  <c r="AT103" i="22"/>
  <c r="AS103" i="22"/>
  <c r="AR103" i="22"/>
  <c r="AQ103" i="22"/>
  <c r="AP103" i="22"/>
  <c r="AO103" i="22"/>
  <c r="AN103" i="22"/>
  <c r="AM103" i="22"/>
  <c r="AL103" i="22"/>
  <c r="AK103" i="22"/>
  <c r="AJ103" i="22"/>
  <c r="AI103" i="22"/>
  <c r="AH103" i="22"/>
  <c r="AG103" i="22"/>
  <c r="AF103" i="22"/>
  <c r="AE103" i="22"/>
  <c r="AD103" i="22"/>
  <c r="AB103" i="22"/>
  <c r="AA103" i="22"/>
  <c r="BI102" i="22"/>
  <c r="BH102" i="22"/>
  <c r="BG102" i="22"/>
  <c r="BF102" i="22"/>
  <c r="BE102" i="22"/>
  <c r="BD102" i="22"/>
  <c r="BC102" i="22"/>
  <c r="BB102" i="22"/>
  <c r="BA102" i="22"/>
  <c r="AZ102" i="22"/>
  <c r="AY102" i="22"/>
  <c r="AX102" i="22"/>
  <c r="AW102" i="22"/>
  <c r="AV102" i="22"/>
  <c r="AT102" i="22"/>
  <c r="AS102" i="22"/>
  <c r="AR102" i="22"/>
  <c r="AQ102" i="22"/>
  <c r="AP102" i="22"/>
  <c r="AO102" i="22"/>
  <c r="AN102" i="22"/>
  <c r="AM102" i="22"/>
  <c r="AL102" i="22"/>
  <c r="AK102" i="22"/>
  <c r="AJ102" i="22"/>
  <c r="AI102" i="22"/>
  <c r="AH102" i="22"/>
  <c r="AG102" i="22"/>
  <c r="AF102" i="22"/>
  <c r="AE102" i="22"/>
  <c r="AD102" i="22"/>
  <c r="AB102" i="22"/>
  <c r="AA102" i="22"/>
  <c r="BI101" i="22"/>
  <c r="BH101" i="22"/>
  <c r="BG101" i="22"/>
  <c r="BF101" i="22"/>
  <c r="BE101" i="22"/>
  <c r="BD101" i="22"/>
  <c r="BC101" i="22"/>
  <c r="BB101" i="22"/>
  <c r="BA101" i="22"/>
  <c r="AZ101" i="22"/>
  <c r="AY101" i="22"/>
  <c r="AX101" i="22"/>
  <c r="AW101" i="22"/>
  <c r="AV101" i="22"/>
  <c r="AT101" i="22"/>
  <c r="AS101" i="22"/>
  <c r="AR101" i="22"/>
  <c r="AQ101" i="22"/>
  <c r="AP101" i="22"/>
  <c r="AO101" i="22"/>
  <c r="AN101" i="22"/>
  <c r="AM101" i="22"/>
  <c r="AL101" i="22"/>
  <c r="AK101" i="22"/>
  <c r="AJ101" i="22"/>
  <c r="AI101" i="22"/>
  <c r="AH101" i="22"/>
  <c r="AG101" i="22"/>
  <c r="AF101" i="22"/>
  <c r="AE101" i="22"/>
  <c r="AD101" i="22"/>
  <c r="AB101" i="22"/>
  <c r="AA101" i="22"/>
  <c r="BI100" i="22"/>
  <c r="BH100" i="22"/>
  <c r="BG100" i="22"/>
  <c r="BF100" i="22"/>
  <c r="BE100" i="22"/>
  <c r="BD100" i="22"/>
  <c r="BC100" i="22"/>
  <c r="BB100" i="22"/>
  <c r="BA100" i="22"/>
  <c r="AZ100" i="22"/>
  <c r="AY100" i="22"/>
  <c r="AX100" i="22"/>
  <c r="AW100" i="22"/>
  <c r="AV100" i="22"/>
  <c r="AT100" i="22"/>
  <c r="AS100" i="22"/>
  <c r="AR100" i="22"/>
  <c r="AQ100" i="22"/>
  <c r="AP100" i="22"/>
  <c r="AO100" i="22"/>
  <c r="AN100" i="22"/>
  <c r="AM100" i="22"/>
  <c r="AL100" i="22"/>
  <c r="AK100" i="22"/>
  <c r="AJ100" i="22"/>
  <c r="AI100" i="22"/>
  <c r="AH100" i="22"/>
  <c r="AG100" i="22"/>
  <c r="AF100" i="22"/>
  <c r="AE100" i="22"/>
  <c r="AD100" i="22"/>
  <c r="AB100" i="22"/>
  <c r="AA100" i="22"/>
  <c r="BI99" i="22"/>
  <c r="BH99" i="22"/>
  <c r="BG99" i="22"/>
  <c r="BF99" i="22"/>
  <c r="BE99" i="22"/>
  <c r="BD99" i="22"/>
  <c r="BC99" i="22"/>
  <c r="BB99" i="22"/>
  <c r="BA99" i="22"/>
  <c r="AZ99" i="22"/>
  <c r="AY99" i="22"/>
  <c r="AX99" i="22"/>
  <c r="AW99" i="22"/>
  <c r="AV99" i="22"/>
  <c r="AT99" i="22"/>
  <c r="AS99" i="22"/>
  <c r="AR99" i="22"/>
  <c r="AQ99" i="22"/>
  <c r="AP99" i="22"/>
  <c r="AO99" i="22"/>
  <c r="AN99" i="22"/>
  <c r="AM99" i="22"/>
  <c r="AL99" i="22"/>
  <c r="AK99" i="22"/>
  <c r="AJ99" i="22"/>
  <c r="AI99" i="22"/>
  <c r="AH99" i="22"/>
  <c r="AG99" i="22"/>
  <c r="AF99" i="22"/>
  <c r="AE99" i="22"/>
  <c r="AD99" i="22"/>
  <c r="AB99" i="22"/>
  <c r="AA99" i="22"/>
  <c r="BI98" i="22"/>
  <c r="BH98" i="22"/>
  <c r="BG98" i="22"/>
  <c r="BF98" i="22"/>
  <c r="BE98" i="22"/>
  <c r="BD98" i="22"/>
  <c r="BC98" i="22"/>
  <c r="BB98" i="22"/>
  <c r="BA98" i="22"/>
  <c r="AZ98" i="22"/>
  <c r="AY98" i="22"/>
  <c r="AX98" i="22"/>
  <c r="AW98" i="22"/>
  <c r="AV98" i="22"/>
  <c r="AT98" i="22"/>
  <c r="AS98" i="22"/>
  <c r="AR98" i="22"/>
  <c r="AQ98" i="22"/>
  <c r="AP98" i="22"/>
  <c r="AO98" i="22"/>
  <c r="AN98" i="22"/>
  <c r="AM98" i="22"/>
  <c r="AL98" i="22"/>
  <c r="AK98" i="22"/>
  <c r="AJ98" i="22"/>
  <c r="AI98" i="22"/>
  <c r="AH98" i="22"/>
  <c r="AG98" i="22"/>
  <c r="AF98" i="22"/>
  <c r="AE98" i="22"/>
  <c r="AD98" i="22"/>
  <c r="AB98" i="22"/>
  <c r="AA98" i="22"/>
  <c r="BI97" i="22"/>
  <c r="BH97" i="22"/>
  <c r="BG97" i="22"/>
  <c r="BF97" i="22"/>
  <c r="BE97" i="22"/>
  <c r="BD97" i="22"/>
  <c r="BC97" i="22"/>
  <c r="BB97" i="22"/>
  <c r="BA97" i="22"/>
  <c r="AZ97" i="22"/>
  <c r="AY97" i="22"/>
  <c r="AX97" i="22"/>
  <c r="AW97" i="22"/>
  <c r="AV97" i="22"/>
  <c r="AT97" i="22"/>
  <c r="AS97" i="22"/>
  <c r="AR97" i="22"/>
  <c r="AQ97" i="22"/>
  <c r="AP97" i="22"/>
  <c r="AO97" i="22"/>
  <c r="AN97" i="22"/>
  <c r="AM97" i="22"/>
  <c r="AL97" i="22"/>
  <c r="AK97" i="22"/>
  <c r="AJ97" i="22"/>
  <c r="AI97" i="22"/>
  <c r="AH97" i="22"/>
  <c r="AG97" i="22"/>
  <c r="AF97" i="22"/>
  <c r="AE97" i="22"/>
  <c r="AD97" i="22"/>
  <c r="AB97" i="22"/>
  <c r="AA97" i="22"/>
  <c r="BI96" i="22"/>
  <c r="BH96" i="22"/>
  <c r="BG96" i="22"/>
  <c r="BF96" i="22"/>
  <c r="BE96" i="22"/>
  <c r="BD96" i="22"/>
  <c r="BC96" i="22"/>
  <c r="BB96" i="22"/>
  <c r="BA96" i="22"/>
  <c r="AZ96" i="22"/>
  <c r="AY96" i="22"/>
  <c r="AX96" i="22"/>
  <c r="AW96" i="22"/>
  <c r="AV96" i="22"/>
  <c r="AT96" i="22"/>
  <c r="AS96" i="22"/>
  <c r="AR96" i="22"/>
  <c r="AQ96" i="22"/>
  <c r="AP96" i="22"/>
  <c r="AO96" i="22"/>
  <c r="AN96" i="22"/>
  <c r="AM96" i="22"/>
  <c r="AL96" i="22"/>
  <c r="AK96" i="22"/>
  <c r="AJ96" i="22"/>
  <c r="AI96" i="22"/>
  <c r="AH96" i="22"/>
  <c r="AG96" i="22"/>
  <c r="AF96" i="22"/>
  <c r="AE96" i="22"/>
  <c r="AD96" i="22"/>
  <c r="AB96" i="22"/>
  <c r="AA96" i="22"/>
  <c r="BI95" i="22"/>
  <c r="BH95" i="22"/>
  <c r="BG95" i="22"/>
  <c r="BF95" i="22"/>
  <c r="BE95" i="22"/>
  <c r="BD95" i="22"/>
  <c r="BC95" i="22"/>
  <c r="BB95" i="22"/>
  <c r="BA95" i="22"/>
  <c r="AZ95" i="22"/>
  <c r="AY95" i="22"/>
  <c r="AX95" i="22"/>
  <c r="AW95" i="22"/>
  <c r="AV95" i="22"/>
  <c r="AT95" i="22"/>
  <c r="AS95" i="22"/>
  <c r="AR95" i="22"/>
  <c r="AQ95" i="22"/>
  <c r="AP95" i="22"/>
  <c r="AO95" i="22"/>
  <c r="AN95" i="22"/>
  <c r="AM95" i="22"/>
  <c r="AL95" i="22"/>
  <c r="AK95" i="22"/>
  <c r="AJ95" i="22"/>
  <c r="AI95" i="22"/>
  <c r="AH95" i="22"/>
  <c r="AG95" i="22"/>
  <c r="AF95" i="22"/>
  <c r="AE95" i="22"/>
  <c r="AD95" i="22"/>
  <c r="AB95" i="22"/>
  <c r="AA95" i="22"/>
  <c r="BI94" i="22"/>
  <c r="BH94" i="22"/>
  <c r="BG94" i="22"/>
  <c r="BF94" i="22"/>
  <c r="BE94" i="22"/>
  <c r="BD94" i="22"/>
  <c r="BC94" i="22"/>
  <c r="BB94" i="22"/>
  <c r="BA94" i="22"/>
  <c r="AZ94" i="22"/>
  <c r="AY94" i="22"/>
  <c r="AX94" i="22"/>
  <c r="AW94" i="22"/>
  <c r="AV94" i="22"/>
  <c r="AT94" i="22"/>
  <c r="AS94" i="22"/>
  <c r="AR94" i="22"/>
  <c r="AQ94" i="22"/>
  <c r="AP94" i="22"/>
  <c r="AO94" i="22"/>
  <c r="AN94" i="22"/>
  <c r="AM94" i="22"/>
  <c r="AL94" i="22"/>
  <c r="AK94" i="22"/>
  <c r="AJ94" i="22"/>
  <c r="AI94" i="22"/>
  <c r="AH94" i="22"/>
  <c r="AG94" i="22"/>
  <c r="AF94" i="22"/>
  <c r="AE94" i="22"/>
  <c r="AD94" i="22"/>
  <c r="AB94" i="22"/>
  <c r="AA94" i="22"/>
  <c r="BI93" i="22"/>
  <c r="BH93" i="22"/>
  <c r="BG93" i="22"/>
  <c r="BF93" i="22"/>
  <c r="BE93" i="22"/>
  <c r="BD93" i="22"/>
  <c r="BC93" i="22"/>
  <c r="BB93" i="22"/>
  <c r="BA93" i="22"/>
  <c r="AZ93" i="22"/>
  <c r="AY93" i="22"/>
  <c r="AX93" i="22"/>
  <c r="AW93" i="22"/>
  <c r="AV93" i="22"/>
  <c r="AT93" i="22"/>
  <c r="AS93" i="22"/>
  <c r="AR93" i="22"/>
  <c r="AQ93" i="22"/>
  <c r="AP93" i="22"/>
  <c r="AO93" i="22"/>
  <c r="AN93" i="22"/>
  <c r="AM93" i="22"/>
  <c r="AL93" i="22"/>
  <c r="AK93" i="22"/>
  <c r="AJ93" i="22"/>
  <c r="AI93" i="22"/>
  <c r="AH93" i="22"/>
  <c r="AG93" i="22"/>
  <c r="AF93" i="22"/>
  <c r="AE93" i="22"/>
  <c r="AD93" i="22"/>
  <c r="AB93" i="22"/>
  <c r="AA93" i="22"/>
  <c r="BI92" i="22"/>
  <c r="BH92" i="22"/>
  <c r="BG92" i="22"/>
  <c r="BF92" i="22"/>
  <c r="BE92" i="22"/>
  <c r="BD92" i="22"/>
  <c r="BC92" i="22"/>
  <c r="BB92" i="22"/>
  <c r="BA92" i="22"/>
  <c r="AZ92" i="22"/>
  <c r="AY92" i="22"/>
  <c r="AX92" i="22"/>
  <c r="AW92" i="22"/>
  <c r="AV92" i="22"/>
  <c r="AT92" i="22"/>
  <c r="AS92" i="22"/>
  <c r="AR92" i="22"/>
  <c r="AQ92" i="22"/>
  <c r="AP92" i="22"/>
  <c r="AO92" i="22"/>
  <c r="AN92" i="22"/>
  <c r="AM92" i="22"/>
  <c r="AL92" i="22"/>
  <c r="AK92" i="22"/>
  <c r="AJ92" i="22"/>
  <c r="AI92" i="22"/>
  <c r="AH92" i="22"/>
  <c r="AG92" i="22"/>
  <c r="AF92" i="22"/>
  <c r="AE92" i="22"/>
  <c r="AD92" i="22"/>
  <c r="AB92" i="22"/>
  <c r="AA92" i="22"/>
  <c r="BI91" i="22"/>
  <c r="BH91" i="22"/>
  <c r="BG91" i="22"/>
  <c r="BF91" i="22"/>
  <c r="BE91" i="22"/>
  <c r="BD91" i="22"/>
  <c r="BC91" i="22"/>
  <c r="BB91" i="22"/>
  <c r="BA91" i="22"/>
  <c r="AZ91" i="22"/>
  <c r="AY91" i="22"/>
  <c r="AX91" i="22"/>
  <c r="AW91" i="22"/>
  <c r="AV91" i="22"/>
  <c r="AT91" i="22"/>
  <c r="AS91" i="22"/>
  <c r="AR91" i="22"/>
  <c r="AQ91" i="22"/>
  <c r="AP91" i="22"/>
  <c r="AO91" i="22"/>
  <c r="AN91" i="22"/>
  <c r="AM91" i="22"/>
  <c r="AL91" i="22"/>
  <c r="AK91" i="22"/>
  <c r="AJ91" i="22"/>
  <c r="AI91" i="22"/>
  <c r="AH91" i="22"/>
  <c r="AG91" i="22"/>
  <c r="AF91" i="22"/>
  <c r="AE91" i="22"/>
  <c r="AD91" i="22"/>
  <c r="AB91" i="22"/>
  <c r="AA91" i="22"/>
  <c r="BI90" i="22"/>
  <c r="BH90" i="22"/>
  <c r="BG90" i="22"/>
  <c r="BF90" i="22"/>
  <c r="BE90" i="22"/>
  <c r="BD90" i="22"/>
  <c r="BC90" i="22"/>
  <c r="BB90" i="22"/>
  <c r="BA90" i="22"/>
  <c r="AZ90" i="22"/>
  <c r="AY90" i="22"/>
  <c r="AX90" i="22"/>
  <c r="AW90" i="22"/>
  <c r="AV90" i="22"/>
  <c r="AT90" i="22"/>
  <c r="AS90" i="22"/>
  <c r="AR90" i="22"/>
  <c r="AQ90" i="22"/>
  <c r="AP90" i="22"/>
  <c r="AO90" i="22"/>
  <c r="AN90" i="22"/>
  <c r="AM90" i="22"/>
  <c r="AL90" i="22"/>
  <c r="AK90" i="22"/>
  <c r="AJ90" i="22"/>
  <c r="AI90" i="22"/>
  <c r="AH90" i="22"/>
  <c r="AG90" i="22"/>
  <c r="AF90" i="22"/>
  <c r="AE90" i="22"/>
  <c r="AD90" i="22"/>
  <c r="AB90" i="22"/>
  <c r="AA90" i="22"/>
  <c r="BI89" i="22"/>
  <c r="BH89" i="22"/>
  <c r="BG89" i="22"/>
  <c r="BF89" i="22"/>
  <c r="BE89" i="22"/>
  <c r="BD89" i="22"/>
  <c r="BC89" i="22"/>
  <c r="BB89" i="22"/>
  <c r="BA89" i="22"/>
  <c r="AZ89" i="22"/>
  <c r="AY89" i="22"/>
  <c r="AX89" i="22"/>
  <c r="AW89" i="22"/>
  <c r="AV89" i="22"/>
  <c r="AT89" i="22"/>
  <c r="AS89" i="22"/>
  <c r="AR89" i="22"/>
  <c r="AQ89" i="22"/>
  <c r="AP89" i="22"/>
  <c r="AO89" i="22"/>
  <c r="AN89" i="22"/>
  <c r="AM89" i="22"/>
  <c r="AL89" i="22"/>
  <c r="AK89" i="22"/>
  <c r="AJ89" i="22"/>
  <c r="AI89" i="22"/>
  <c r="AH89" i="22"/>
  <c r="AG89" i="22"/>
  <c r="AF89" i="22"/>
  <c r="AE89" i="22"/>
  <c r="AD89" i="22"/>
  <c r="AB89" i="22"/>
  <c r="AA89" i="22"/>
  <c r="BI88" i="22"/>
  <c r="BH88" i="22"/>
  <c r="BG88" i="22"/>
  <c r="BF88" i="22"/>
  <c r="BE88" i="22"/>
  <c r="BD88" i="22"/>
  <c r="BC88" i="22"/>
  <c r="BB88" i="22"/>
  <c r="BA88" i="22"/>
  <c r="AZ88" i="22"/>
  <c r="AY88" i="22"/>
  <c r="AX88" i="22"/>
  <c r="AW88" i="22"/>
  <c r="AV88" i="22"/>
  <c r="AT88" i="22"/>
  <c r="AS88" i="22"/>
  <c r="AR88" i="22"/>
  <c r="AQ88" i="22"/>
  <c r="AP88" i="22"/>
  <c r="AO88" i="22"/>
  <c r="AN88" i="22"/>
  <c r="AM88" i="22"/>
  <c r="AL88" i="22"/>
  <c r="AK88" i="22"/>
  <c r="AJ88" i="22"/>
  <c r="AI88" i="22"/>
  <c r="AH88" i="22"/>
  <c r="AG88" i="22"/>
  <c r="AF88" i="22"/>
  <c r="AE88" i="22"/>
  <c r="AD88" i="22"/>
  <c r="AB88" i="22"/>
  <c r="AA88" i="22"/>
  <c r="BI87" i="22"/>
  <c r="BH87" i="22"/>
  <c r="BG87" i="22"/>
  <c r="BF87" i="22"/>
  <c r="BE87" i="22"/>
  <c r="BD87" i="22"/>
  <c r="BC87" i="22"/>
  <c r="BB87" i="22"/>
  <c r="BA87" i="22"/>
  <c r="AZ87" i="22"/>
  <c r="AY87" i="22"/>
  <c r="AX87" i="22"/>
  <c r="AW87" i="22"/>
  <c r="AV87" i="22"/>
  <c r="AT87" i="22"/>
  <c r="AS87" i="22"/>
  <c r="AR87" i="22"/>
  <c r="AQ87" i="22"/>
  <c r="AP87" i="22"/>
  <c r="AO87" i="22"/>
  <c r="AN87" i="22"/>
  <c r="AM87" i="22"/>
  <c r="AL87" i="22"/>
  <c r="AK87" i="22"/>
  <c r="AJ87" i="22"/>
  <c r="AI87" i="22"/>
  <c r="AH87" i="22"/>
  <c r="AG87" i="22"/>
  <c r="AF87" i="22"/>
  <c r="AE87" i="22"/>
  <c r="AD87" i="22"/>
  <c r="AB87" i="22"/>
  <c r="AA87" i="22"/>
  <c r="BI86" i="22"/>
  <c r="BH86" i="22"/>
  <c r="BG86" i="22"/>
  <c r="BF86" i="22"/>
  <c r="BE86" i="22"/>
  <c r="BD86" i="22"/>
  <c r="BC86" i="22"/>
  <c r="BB86" i="22"/>
  <c r="BA86" i="22"/>
  <c r="AZ86" i="22"/>
  <c r="AY86" i="22"/>
  <c r="AX86" i="22"/>
  <c r="AW86" i="22"/>
  <c r="AV86" i="22"/>
  <c r="AT86" i="22"/>
  <c r="AS86" i="22"/>
  <c r="AR86" i="22"/>
  <c r="AQ86" i="22"/>
  <c r="AP86" i="22"/>
  <c r="AO86" i="22"/>
  <c r="AN86" i="22"/>
  <c r="AM86" i="22"/>
  <c r="AL86" i="22"/>
  <c r="AK86" i="22"/>
  <c r="AJ86" i="22"/>
  <c r="AI86" i="22"/>
  <c r="AH86" i="22"/>
  <c r="AG86" i="22"/>
  <c r="AF86" i="22"/>
  <c r="AE86" i="22"/>
  <c r="AD86" i="22"/>
  <c r="AB86" i="22"/>
  <c r="AA86" i="22"/>
  <c r="U86" i="22"/>
  <c r="BI85" i="22"/>
  <c r="BH85" i="22"/>
  <c r="BG85" i="22"/>
  <c r="BF85" i="22"/>
  <c r="BE85" i="22"/>
  <c r="BD85" i="22"/>
  <c r="BC85" i="22"/>
  <c r="BB85" i="22"/>
  <c r="BA85" i="22"/>
  <c r="AZ85" i="22"/>
  <c r="AY85" i="22"/>
  <c r="AX85" i="22"/>
  <c r="AW85" i="22"/>
  <c r="AV85" i="22"/>
  <c r="AT85" i="22"/>
  <c r="AS85" i="22"/>
  <c r="AR85" i="22"/>
  <c r="AQ85" i="22"/>
  <c r="AP85" i="22"/>
  <c r="AO85" i="22"/>
  <c r="AN85" i="22"/>
  <c r="AM85" i="22"/>
  <c r="AL85" i="22"/>
  <c r="AK85" i="22"/>
  <c r="AJ85" i="22"/>
  <c r="AI85" i="22"/>
  <c r="AH85" i="22"/>
  <c r="AG85" i="22"/>
  <c r="AF85" i="22"/>
  <c r="AE85" i="22"/>
  <c r="AD85" i="22"/>
  <c r="AB85" i="22"/>
  <c r="AA85" i="22"/>
  <c r="BI84" i="22"/>
  <c r="BH84" i="22"/>
  <c r="BG84" i="22"/>
  <c r="BF84" i="22"/>
  <c r="BE84" i="22"/>
  <c r="BD84" i="22"/>
  <c r="BC84" i="22"/>
  <c r="BB84" i="22"/>
  <c r="BA84" i="22"/>
  <c r="AZ84" i="22"/>
  <c r="AY84" i="22"/>
  <c r="AX84" i="22"/>
  <c r="AW84" i="22"/>
  <c r="AV84" i="22"/>
  <c r="AT84" i="22"/>
  <c r="AS84" i="22"/>
  <c r="AR84" i="22"/>
  <c r="AQ84" i="22"/>
  <c r="AP84" i="22"/>
  <c r="AO84" i="22"/>
  <c r="AN84" i="22"/>
  <c r="AM84" i="22"/>
  <c r="AL84" i="22"/>
  <c r="AK84" i="22"/>
  <c r="AJ84" i="22"/>
  <c r="AI84" i="22"/>
  <c r="AH84" i="22"/>
  <c r="AG84" i="22"/>
  <c r="AF84" i="22"/>
  <c r="AE84" i="22"/>
  <c r="AD84" i="22"/>
  <c r="AB84" i="22"/>
  <c r="AA84" i="22"/>
  <c r="BI83" i="22"/>
  <c r="BH83" i="22"/>
  <c r="BG83" i="22"/>
  <c r="BF83" i="22"/>
  <c r="BE83" i="22"/>
  <c r="BD83" i="22"/>
  <c r="BC83" i="22"/>
  <c r="BB83" i="22"/>
  <c r="BA83" i="22"/>
  <c r="AZ83" i="22"/>
  <c r="AY83" i="22"/>
  <c r="AX83" i="22"/>
  <c r="AW83" i="22"/>
  <c r="AV83" i="22"/>
  <c r="AT83" i="22"/>
  <c r="AS83" i="22"/>
  <c r="AR83" i="22"/>
  <c r="AQ83" i="22"/>
  <c r="AP83" i="22"/>
  <c r="AO83" i="22"/>
  <c r="AN83" i="22"/>
  <c r="AM83" i="22"/>
  <c r="AL83" i="22"/>
  <c r="AK83" i="22"/>
  <c r="AJ83" i="22"/>
  <c r="AI83" i="22"/>
  <c r="AH83" i="22"/>
  <c r="AG83" i="22"/>
  <c r="AF83" i="22"/>
  <c r="AE83" i="22"/>
  <c r="AD83" i="22"/>
  <c r="AB83" i="22"/>
  <c r="AA83" i="22"/>
  <c r="BI82" i="22"/>
  <c r="BH82" i="22"/>
  <c r="BG82" i="22"/>
  <c r="BF82" i="22"/>
  <c r="BE82" i="22"/>
  <c r="BD82" i="22"/>
  <c r="BC82" i="22"/>
  <c r="BB82" i="22"/>
  <c r="BA82" i="22"/>
  <c r="AZ82" i="22"/>
  <c r="AY82" i="22"/>
  <c r="AX82" i="22"/>
  <c r="AW82" i="22"/>
  <c r="AV82" i="22"/>
  <c r="AT82" i="22"/>
  <c r="AS82" i="22"/>
  <c r="AR82" i="22"/>
  <c r="AQ82" i="22"/>
  <c r="AP82" i="22"/>
  <c r="AO82" i="22"/>
  <c r="AN82" i="22"/>
  <c r="AM82" i="22"/>
  <c r="AL82" i="22"/>
  <c r="AK82" i="22"/>
  <c r="AJ82" i="22"/>
  <c r="AI82" i="22"/>
  <c r="AH82" i="22"/>
  <c r="AG82" i="22"/>
  <c r="AF82" i="22"/>
  <c r="AE82" i="22"/>
  <c r="AD82" i="22"/>
  <c r="AB82" i="22"/>
  <c r="AA82" i="22"/>
  <c r="BI81" i="22"/>
  <c r="BH81" i="22"/>
  <c r="BG81" i="22"/>
  <c r="BF81" i="22"/>
  <c r="BE81" i="22"/>
  <c r="BD81" i="22"/>
  <c r="BC81" i="22"/>
  <c r="BB81" i="22"/>
  <c r="BA81" i="22"/>
  <c r="AZ81" i="22"/>
  <c r="AY81" i="22"/>
  <c r="AX81" i="22"/>
  <c r="AW81" i="22"/>
  <c r="AV81" i="22"/>
  <c r="AT81" i="22"/>
  <c r="AS81" i="22"/>
  <c r="AR81" i="22"/>
  <c r="AQ81" i="22"/>
  <c r="AP81" i="22"/>
  <c r="AO81" i="22"/>
  <c r="AN81" i="22"/>
  <c r="AM81" i="22"/>
  <c r="AL81" i="22"/>
  <c r="AK81" i="22"/>
  <c r="AJ81" i="22"/>
  <c r="AI81" i="22"/>
  <c r="AH81" i="22"/>
  <c r="AG81" i="22"/>
  <c r="AF81" i="22"/>
  <c r="AE81" i="22"/>
  <c r="AD81" i="22"/>
  <c r="AB81" i="22"/>
  <c r="AA81" i="22"/>
  <c r="BI80" i="22"/>
  <c r="BH80" i="22"/>
  <c r="BG80" i="22"/>
  <c r="BF80" i="22"/>
  <c r="BE80" i="22"/>
  <c r="BD80" i="22"/>
  <c r="BC80" i="22"/>
  <c r="BB80" i="22"/>
  <c r="BA80" i="22"/>
  <c r="AZ80" i="22"/>
  <c r="AY80" i="22"/>
  <c r="AX80" i="22"/>
  <c r="AW80" i="22"/>
  <c r="AV80" i="22"/>
  <c r="AT80" i="22"/>
  <c r="AS80" i="22"/>
  <c r="AR80" i="22"/>
  <c r="AQ80" i="22"/>
  <c r="AP80" i="22"/>
  <c r="AO80" i="22"/>
  <c r="AN80" i="22"/>
  <c r="AM80" i="22"/>
  <c r="AL80" i="22"/>
  <c r="AK80" i="22"/>
  <c r="AJ80" i="22"/>
  <c r="AI80" i="22"/>
  <c r="AH80" i="22"/>
  <c r="AG80" i="22"/>
  <c r="AF80" i="22"/>
  <c r="AE80" i="22"/>
  <c r="AD80" i="22"/>
  <c r="AB80" i="22"/>
  <c r="AA80" i="22"/>
  <c r="BI79" i="22"/>
  <c r="BH79" i="22"/>
  <c r="BG79" i="22"/>
  <c r="BF79" i="22"/>
  <c r="BE79" i="22"/>
  <c r="BD79" i="22"/>
  <c r="BC79" i="22"/>
  <c r="BB79" i="22"/>
  <c r="BA79" i="22"/>
  <c r="AZ79" i="22"/>
  <c r="AY79" i="22"/>
  <c r="AX79" i="22"/>
  <c r="AW79" i="22"/>
  <c r="AV79" i="22"/>
  <c r="AT79" i="22"/>
  <c r="AS79" i="22"/>
  <c r="AR79" i="22"/>
  <c r="AQ79" i="22"/>
  <c r="AP79" i="22"/>
  <c r="AO79" i="22"/>
  <c r="AN79" i="22"/>
  <c r="AM79" i="22"/>
  <c r="AL79" i="22"/>
  <c r="AK79" i="22"/>
  <c r="AJ79" i="22"/>
  <c r="AI79" i="22"/>
  <c r="AH79" i="22"/>
  <c r="AG79" i="22"/>
  <c r="AF79" i="22"/>
  <c r="AE79" i="22"/>
  <c r="AD79" i="22"/>
  <c r="AB79" i="22"/>
  <c r="AA79" i="22"/>
  <c r="BI78" i="22"/>
  <c r="BH78" i="22"/>
  <c r="BG78" i="22"/>
  <c r="BF78" i="22"/>
  <c r="BE78" i="22"/>
  <c r="BD78" i="22"/>
  <c r="BC78" i="22"/>
  <c r="BB78" i="22"/>
  <c r="BA78" i="22"/>
  <c r="AZ78" i="22"/>
  <c r="AY78" i="22"/>
  <c r="AX78" i="22"/>
  <c r="AW78" i="22"/>
  <c r="AV78" i="22"/>
  <c r="AT78" i="22"/>
  <c r="AS78" i="22"/>
  <c r="AR78" i="22"/>
  <c r="AQ78" i="22"/>
  <c r="AP78" i="22"/>
  <c r="AO78" i="22"/>
  <c r="AN78" i="22"/>
  <c r="AM78" i="22"/>
  <c r="AL78" i="22"/>
  <c r="AK78" i="22"/>
  <c r="AJ78" i="22"/>
  <c r="AI78" i="22"/>
  <c r="AH78" i="22"/>
  <c r="AG78" i="22"/>
  <c r="AF78" i="22"/>
  <c r="AE78" i="22"/>
  <c r="AD78" i="22"/>
  <c r="AB78" i="22"/>
  <c r="AA78" i="22"/>
  <c r="BI77" i="22"/>
  <c r="BH77" i="22"/>
  <c r="BG77" i="22"/>
  <c r="BF77" i="22"/>
  <c r="BE77" i="22"/>
  <c r="BD77" i="22"/>
  <c r="BC77" i="22"/>
  <c r="BB77" i="22"/>
  <c r="BA77" i="22"/>
  <c r="AZ77" i="22"/>
  <c r="AY77" i="22"/>
  <c r="AX77" i="22"/>
  <c r="AW77" i="22"/>
  <c r="AV77" i="22"/>
  <c r="AT77" i="22"/>
  <c r="AS77" i="22"/>
  <c r="AR77" i="22"/>
  <c r="AQ77" i="22"/>
  <c r="AP77" i="22"/>
  <c r="AO77" i="22"/>
  <c r="AN77" i="22"/>
  <c r="AM77" i="22"/>
  <c r="AL77" i="22"/>
  <c r="AK77" i="22"/>
  <c r="AJ77" i="22"/>
  <c r="AI77" i="22"/>
  <c r="AH77" i="22"/>
  <c r="AG77" i="22"/>
  <c r="AF77" i="22"/>
  <c r="AE77" i="22"/>
  <c r="AD77" i="22"/>
  <c r="AB77" i="22"/>
  <c r="AA77" i="22"/>
  <c r="BI76" i="22"/>
  <c r="BH76" i="22"/>
  <c r="BG76" i="22"/>
  <c r="BF76" i="22"/>
  <c r="BE76" i="22"/>
  <c r="BD76" i="22"/>
  <c r="BC76" i="22"/>
  <c r="BB76" i="22"/>
  <c r="BA76" i="22"/>
  <c r="AZ76" i="22"/>
  <c r="AY76" i="22"/>
  <c r="AX76" i="22"/>
  <c r="AW76" i="22"/>
  <c r="AV76" i="22"/>
  <c r="AT76" i="22"/>
  <c r="AS76" i="22"/>
  <c r="AR76" i="22"/>
  <c r="AQ76" i="22"/>
  <c r="AP76" i="22"/>
  <c r="AO76" i="22"/>
  <c r="AN76" i="22"/>
  <c r="AM76" i="22"/>
  <c r="AL76" i="22"/>
  <c r="AK76" i="22"/>
  <c r="AJ76" i="22"/>
  <c r="AI76" i="22"/>
  <c r="AH76" i="22"/>
  <c r="AG76" i="22"/>
  <c r="AF76" i="22"/>
  <c r="AE76" i="22"/>
  <c r="AD76" i="22"/>
  <c r="AB76" i="22"/>
  <c r="AA76" i="22"/>
  <c r="BI75" i="22"/>
  <c r="BH75" i="22"/>
  <c r="BG75" i="22"/>
  <c r="BF75" i="22"/>
  <c r="BE75" i="22"/>
  <c r="BD75" i="22"/>
  <c r="BC75" i="22"/>
  <c r="BB75" i="22"/>
  <c r="BA75" i="22"/>
  <c r="AZ75" i="22"/>
  <c r="AY75" i="22"/>
  <c r="AX75" i="22"/>
  <c r="AW75" i="22"/>
  <c r="AV75" i="22"/>
  <c r="AT75" i="22"/>
  <c r="AS75" i="22"/>
  <c r="AR75" i="22"/>
  <c r="AQ75" i="22"/>
  <c r="AP75" i="22"/>
  <c r="AO75" i="22"/>
  <c r="AN75" i="22"/>
  <c r="AM75" i="22"/>
  <c r="AL75" i="22"/>
  <c r="AK75" i="22"/>
  <c r="AJ75" i="22"/>
  <c r="AI75" i="22"/>
  <c r="AH75" i="22"/>
  <c r="AG75" i="22"/>
  <c r="AF75" i="22"/>
  <c r="AE75" i="22"/>
  <c r="AD75" i="22"/>
  <c r="AB75" i="22"/>
  <c r="AA75" i="22"/>
  <c r="BI74" i="22"/>
  <c r="BH74" i="22"/>
  <c r="BG74" i="22"/>
  <c r="BF74" i="22"/>
  <c r="BE74" i="22"/>
  <c r="BD74" i="22"/>
  <c r="BC74" i="22"/>
  <c r="BB74" i="22"/>
  <c r="BA74" i="22"/>
  <c r="AZ74" i="22"/>
  <c r="AY74" i="22"/>
  <c r="AX74" i="22"/>
  <c r="AW74" i="22"/>
  <c r="AV74" i="22"/>
  <c r="AT74" i="22"/>
  <c r="AS74" i="22"/>
  <c r="AR74" i="22"/>
  <c r="AQ74" i="22"/>
  <c r="AP74" i="22"/>
  <c r="AO74" i="22"/>
  <c r="AN74" i="22"/>
  <c r="AM74" i="22"/>
  <c r="AL74" i="22"/>
  <c r="AK74" i="22"/>
  <c r="AJ74" i="22"/>
  <c r="AI74" i="22"/>
  <c r="AH74" i="22"/>
  <c r="AG74" i="22"/>
  <c r="AF74" i="22"/>
  <c r="AE74" i="22"/>
  <c r="AD74" i="22"/>
  <c r="AB74" i="22"/>
  <c r="AA74" i="22"/>
  <c r="BI73" i="22"/>
  <c r="BH73" i="22"/>
  <c r="BG73" i="22"/>
  <c r="BF73" i="22"/>
  <c r="BE73" i="22"/>
  <c r="BD73" i="22"/>
  <c r="BC73" i="22"/>
  <c r="BB73" i="22"/>
  <c r="BA73" i="22"/>
  <c r="AZ73" i="22"/>
  <c r="AY73" i="22"/>
  <c r="AX73" i="22"/>
  <c r="AW73" i="22"/>
  <c r="AV73" i="22"/>
  <c r="AT73" i="22"/>
  <c r="AS73" i="22"/>
  <c r="AR73" i="22"/>
  <c r="AQ73" i="22"/>
  <c r="AP73" i="22"/>
  <c r="AO73" i="22"/>
  <c r="AN73" i="22"/>
  <c r="AM73" i="22"/>
  <c r="AL73" i="22"/>
  <c r="AK73" i="22"/>
  <c r="AJ73" i="22"/>
  <c r="AI73" i="22"/>
  <c r="AH73" i="22"/>
  <c r="AG73" i="22"/>
  <c r="AF73" i="22"/>
  <c r="AE73" i="22"/>
  <c r="AD73" i="22"/>
  <c r="AB73" i="22"/>
  <c r="AA73" i="22"/>
  <c r="BI72" i="22"/>
  <c r="BH72" i="22"/>
  <c r="BG72" i="22"/>
  <c r="BF72" i="22"/>
  <c r="BE72" i="22"/>
  <c r="BD72" i="22"/>
  <c r="BC72" i="22"/>
  <c r="BB72" i="22"/>
  <c r="BA72" i="22"/>
  <c r="AZ72" i="22"/>
  <c r="AY72" i="22"/>
  <c r="AX72" i="22"/>
  <c r="AW72" i="22"/>
  <c r="AV72" i="22"/>
  <c r="AT72" i="22"/>
  <c r="AS72" i="22"/>
  <c r="AR72" i="22"/>
  <c r="AQ72" i="22"/>
  <c r="AP72" i="22"/>
  <c r="AO72" i="22"/>
  <c r="AN72" i="22"/>
  <c r="AM72" i="22"/>
  <c r="AL72" i="22"/>
  <c r="AK72" i="22"/>
  <c r="AJ72" i="22"/>
  <c r="AI72" i="22"/>
  <c r="AH72" i="22"/>
  <c r="AG72" i="22"/>
  <c r="AF72" i="22"/>
  <c r="AE72" i="22"/>
  <c r="AD72" i="22"/>
  <c r="AB72" i="22"/>
  <c r="AA72" i="22"/>
  <c r="BI71" i="22"/>
  <c r="BH71" i="22"/>
  <c r="BG71" i="22"/>
  <c r="BF71" i="22"/>
  <c r="BE71" i="22"/>
  <c r="BD71" i="22"/>
  <c r="BC71" i="22"/>
  <c r="BB71" i="22"/>
  <c r="BA71" i="22"/>
  <c r="AZ71" i="22"/>
  <c r="AY71" i="22"/>
  <c r="AX71" i="22"/>
  <c r="AW71" i="22"/>
  <c r="AV71" i="22"/>
  <c r="AT71" i="22"/>
  <c r="AS71" i="22"/>
  <c r="AR71" i="22"/>
  <c r="AQ71" i="22"/>
  <c r="AP71" i="22"/>
  <c r="AO71" i="22"/>
  <c r="AN71" i="22"/>
  <c r="AM71" i="22"/>
  <c r="AL71" i="22"/>
  <c r="AK71" i="22"/>
  <c r="AJ71" i="22"/>
  <c r="AI71" i="22"/>
  <c r="AH71" i="22"/>
  <c r="AG71" i="22"/>
  <c r="AF71" i="22"/>
  <c r="AE71" i="22"/>
  <c r="AD71" i="22"/>
  <c r="AB71" i="22"/>
  <c r="AA71" i="22"/>
  <c r="BI70" i="22"/>
  <c r="BH70" i="22"/>
  <c r="BG70" i="22"/>
  <c r="BF70" i="22"/>
  <c r="BE70" i="22"/>
  <c r="BD70" i="22"/>
  <c r="BC70" i="22"/>
  <c r="BB70" i="22"/>
  <c r="BA70" i="22"/>
  <c r="AZ70" i="22"/>
  <c r="AY70" i="22"/>
  <c r="AX70" i="22"/>
  <c r="AW70" i="22"/>
  <c r="AV70" i="22"/>
  <c r="AT70" i="22"/>
  <c r="AS70" i="22"/>
  <c r="AR70" i="22"/>
  <c r="AQ70" i="22"/>
  <c r="AP70" i="22"/>
  <c r="AO70" i="22"/>
  <c r="AN70" i="22"/>
  <c r="AM70" i="22"/>
  <c r="AL70" i="22"/>
  <c r="AK70" i="22"/>
  <c r="AJ70" i="22"/>
  <c r="AI70" i="22"/>
  <c r="AH70" i="22"/>
  <c r="AG70" i="22"/>
  <c r="AF70" i="22"/>
  <c r="AE70" i="22"/>
  <c r="AD70" i="22"/>
  <c r="AB70" i="22"/>
  <c r="AA70" i="22"/>
  <c r="BI69" i="22"/>
  <c r="BH69" i="22"/>
  <c r="BG69" i="22"/>
  <c r="BF69" i="22"/>
  <c r="BE69" i="22"/>
  <c r="BD69" i="22"/>
  <c r="BC69" i="22"/>
  <c r="BB69" i="22"/>
  <c r="BA69" i="22"/>
  <c r="AZ69" i="22"/>
  <c r="AY69" i="22"/>
  <c r="AX69" i="22"/>
  <c r="AW69" i="22"/>
  <c r="AV69" i="22"/>
  <c r="AT69" i="22"/>
  <c r="AS69" i="22"/>
  <c r="AR69" i="22"/>
  <c r="AQ69" i="22"/>
  <c r="AP69" i="22"/>
  <c r="AO69" i="22"/>
  <c r="AN69" i="22"/>
  <c r="AM69" i="22"/>
  <c r="AL69" i="22"/>
  <c r="AK69" i="22"/>
  <c r="AJ69" i="22"/>
  <c r="AI69" i="22"/>
  <c r="AH69" i="22"/>
  <c r="AG69" i="22"/>
  <c r="AF69" i="22"/>
  <c r="AE69" i="22"/>
  <c r="AD69" i="22"/>
  <c r="AB69" i="22"/>
  <c r="AA69" i="22"/>
  <c r="BI68" i="22"/>
  <c r="BH68" i="22"/>
  <c r="BG68" i="22"/>
  <c r="BF68" i="22"/>
  <c r="BE68" i="22"/>
  <c r="BD68" i="22"/>
  <c r="BC68" i="22"/>
  <c r="BB68" i="22"/>
  <c r="BA68" i="22"/>
  <c r="AZ68" i="22"/>
  <c r="AY68" i="22"/>
  <c r="AX68" i="22"/>
  <c r="AW68" i="22"/>
  <c r="AV68" i="22"/>
  <c r="AT68" i="22"/>
  <c r="AS68" i="22"/>
  <c r="AR68" i="22"/>
  <c r="AQ68" i="22"/>
  <c r="AP68" i="22"/>
  <c r="AO68" i="22"/>
  <c r="AN68" i="22"/>
  <c r="AM68" i="22"/>
  <c r="AL68" i="22"/>
  <c r="AK68" i="22"/>
  <c r="AJ68" i="22"/>
  <c r="AI68" i="22"/>
  <c r="AH68" i="22"/>
  <c r="AG68" i="22"/>
  <c r="AF68" i="22"/>
  <c r="AE68" i="22"/>
  <c r="AD68" i="22"/>
  <c r="AA68" i="22"/>
  <c r="BI67" i="22"/>
  <c r="BH67" i="22"/>
  <c r="BG67" i="22"/>
  <c r="BF67" i="22"/>
  <c r="BE67" i="22"/>
  <c r="BD67" i="22"/>
  <c r="BC67" i="22"/>
  <c r="BB67" i="22"/>
  <c r="BA67" i="22"/>
  <c r="AZ67" i="22"/>
  <c r="AY67" i="22"/>
  <c r="AX67" i="22"/>
  <c r="AW67" i="22"/>
  <c r="AV67" i="22"/>
  <c r="AT67" i="22"/>
  <c r="AS67" i="22"/>
  <c r="AR67" i="22"/>
  <c r="AQ67" i="22"/>
  <c r="AP67" i="22"/>
  <c r="AO67" i="22"/>
  <c r="AN67" i="22"/>
  <c r="AM67" i="22"/>
  <c r="AL67" i="22"/>
  <c r="AK67" i="22"/>
  <c r="AJ67" i="22"/>
  <c r="AI67" i="22"/>
  <c r="AH67" i="22"/>
  <c r="AG67" i="22"/>
  <c r="AF67" i="22"/>
  <c r="AE67" i="22"/>
  <c r="AD67" i="22"/>
  <c r="AA67" i="22"/>
  <c r="BI66" i="22"/>
  <c r="BH66" i="22"/>
  <c r="BG66" i="22"/>
  <c r="BF66" i="22"/>
  <c r="BE66" i="22"/>
  <c r="BD66" i="22"/>
  <c r="BC66" i="22"/>
  <c r="BB66" i="22"/>
  <c r="BA66" i="22"/>
  <c r="AZ66" i="22"/>
  <c r="AY66" i="22"/>
  <c r="AX66" i="22"/>
  <c r="AW66" i="22"/>
  <c r="AV66" i="22"/>
  <c r="AT66" i="22"/>
  <c r="AS66" i="22"/>
  <c r="AR66" i="22"/>
  <c r="AQ66" i="22"/>
  <c r="AP66" i="22"/>
  <c r="AO66" i="22"/>
  <c r="AN66" i="22"/>
  <c r="AM66" i="22"/>
  <c r="AL66" i="22"/>
  <c r="AK66" i="22"/>
  <c r="AJ66" i="22"/>
  <c r="AI66" i="22"/>
  <c r="AH66" i="22"/>
  <c r="AG66" i="22"/>
  <c r="AF66" i="22"/>
  <c r="AE66" i="22"/>
  <c r="AD66" i="22"/>
  <c r="AB66" i="22"/>
  <c r="AA66" i="22"/>
  <c r="BI65" i="22"/>
  <c r="BH65" i="22"/>
  <c r="BG65" i="22"/>
  <c r="BF65" i="22"/>
  <c r="BE65" i="22"/>
  <c r="BD65" i="22"/>
  <c r="BC65" i="22"/>
  <c r="BB65" i="22"/>
  <c r="BA65" i="22"/>
  <c r="AZ65" i="22"/>
  <c r="AY65" i="22"/>
  <c r="AX65" i="22"/>
  <c r="AW65" i="22"/>
  <c r="AV65" i="22"/>
  <c r="AT65" i="22"/>
  <c r="AS65" i="22"/>
  <c r="AR65" i="22"/>
  <c r="AQ65" i="22"/>
  <c r="AP65" i="22"/>
  <c r="AO65" i="22"/>
  <c r="AN65" i="22"/>
  <c r="AM65" i="22"/>
  <c r="AL65" i="22"/>
  <c r="AK65" i="22"/>
  <c r="AJ65" i="22"/>
  <c r="AI65" i="22"/>
  <c r="AH65" i="22"/>
  <c r="AG65" i="22"/>
  <c r="AF65" i="22"/>
  <c r="AE65" i="22"/>
  <c r="AD65" i="22"/>
  <c r="AB65" i="22"/>
  <c r="AA65" i="22"/>
  <c r="BI64" i="22"/>
  <c r="BH64" i="22"/>
  <c r="BG64" i="22"/>
  <c r="BF64" i="22"/>
  <c r="BE64" i="22"/>
  <c r="BD64" i="22"/>
  <c r="BC64" i="22"/>
  <c r="BB64" i="22"/>
  <c r="BA64" i="22"/>
  <c r="AZ64" i="22"/>
  <c r="AY64" i="22"/>
  <c r="AX64" i="22"/>
  <c r="AW64" i="22"/>
  <c r="AV64" i="22"/>
  <c r="AT64" i="22"/>
  <c r="AS64" i="22"/>
  <c r="AR64" i="22"/>
  <c r="AQ64" i="22"/>
  <c r="AP64" i="22"/>
  <c r="AO64" i="22"/>
  <c r="AN64" i="22"/>
  <c r="AM64" i="22"/>
  <c r="AL64" i="22"/>
  <c r="AK64" i="22"/>
  <c r="AJ64" i="22"/>
  <c r="AI64" i="22"/>
  <c r="AH64" i="22"/>
  <c r="AG64" i="22"/>
  <c r="AF64" i="22"/>
  <c r="AE64" i="22"/>
  <c r="AD64" i="22"/>
  <c r="AB64" i="22"/>
  <c r="AA64" i="22"/>
  <c r="BI63" i="22"/>
  <c r="BH63" i="22"/>
  <c r="BG63" i="22"/>
  <c r="BF63" i="22"/>
  <c r="BE63" i="22"/>
  <c r="BD63" i="22"/>
  <c r="BC63" i="22"/>
  <c r="BB63" i="22"/>
  <c r="BA63" i="22"/>
  <c r="AZ63" i="22"/>
  <c r="AY63" i="22"/>
  <c r="AX63" i="22"/>
  <c r="AW63" i="22"/>
  <c r="AV63" i="22"/>
  <c r="AT63" i="22"/>
  <c r="AS63" i="22"/>
  <c r="AR63" i="22"/>
  <c r="AQ63" i="22"/>
  <c r="AP63" i="22"/>
  <c r="AO63" i="22"/>
  <c r="AN63" i="22"/>
  <c r="AM63" i="22"/>
  <c r="AL63" i="22"/>
  <c r="AK63" i="22"/>
  <c r="AJ63" i="22"/>
  <c r="AI63" i="22"/>
  <c r="AH63" i="22"/>
  <c r="AG63" i="22"/>
  <c r="AF63" i="22"/>
  <c r="AE63" i="22"/>
  <c r="AD63" i="22"/>
  <c r="AB63" i="22"/>
  <c r="AA63" i="22"/>
  <c r="BI62" i="22"/>
  <c r="BH62" i="22"/>
  <c r="BG62" i="22"/>
  <c r="BF62" i="22"/>
  <c r="BE62" i="22"/>
  <c r="BD62" i="22"/>
  <c r="BC62" i="22"/>
  <c r="BB62" i="22"/>
  <c r="BA62" i="22"/>
  <c r="AZ62" i="22"/>
  <c r="AY62" i="22"/>
  <c r="AX62" i="22"/>
  <c r="AW62" i="22"/>
  <c r="AV62" i="22"/>
  <c r="AT62" i="22"/>
  <c r="AS62" i="22"/>
  <c r="AR62" i="22"/>
  <c r="AQ62" i="22"/>
  <c r="AP62" i="22"/>
  <c r="AO62" i="22"/>
  <c r="AN62" i="22"/>
  <c r="AM62" i="22"/>
  <c r="AL62" i="22"/>
  <c r="AK62" i="22"/>
  <c r="AJ62" i="22"/>
  <c r="AI62" i="22"/>
  <c r="AH62" i="22"/>
  <c r="AG62" i="22"/>
  <c r="AF62" i="22"/>
  <c r="AE62" i="22"/>
  <c r="AD62" i="22"/>
  <c r="AB62" i="22"/>
  <c r="AA62" i="22"/>
  <c r="BI61" i="22"/>
  <c r="BH61" i="22"/>
  <c r="BG61" i="22"/>
  <c r="BF61" i="22"/>
  <c r="BE61" i="22"/>
  <c r="BD61" i="22"/>
  <c r="BC61" i="22"/>
  <c r="BB61" i="22"/>
  <c r="BA61" i="22"/>
  <c r="AZ61" i="22"/>
  <c r="AY61" i="22"/>
  <c r="AX61" i="22"/>
  <c r="AW61" i="22"/>
  <c r="AV61" i="22"/>
  <c r="AT61" i="22"/>
  <c r="AS61" i="22"/>
  <c r="AR61" i="22"/>
  <c r="AQ61" i="22"/>
  <c r="AP61" i="22"/>
  <c r="AO61" i="22"/>
  <c r="AN61" i="22"/>
  <c r="AM61" i="22"/>
  <c r="AL61" i="22"/>
  <c r="AK61" i="22"/>
  <c r="AJ61" i="22"/>
  <c r="AI61" i="22"/>
  <c r="AH61" i="22"/>
  <c r="AG61" i="22"/>
  <c r="AF61" i="22"/>
  <c r="AE61" i="22"/>
  <c r="AD61" i="22"/>
  <c r="AB61" i="22"/>
  <c r="AA61" i="22"/>
  <c r="BI60" i="22"/>
  <c r="BH60" i="22"/>
  <c r="BG60" i="22"/>
  <c r="BF60" i="22"/>
  <c r="BE60" i="22"/>
  <c r="BD60" i="22"/>
  <c r="BC60" i="22"/>
  <c r="BB60" i="22"/>
  <c r="BA60" i="22"/>
  <c r="AZ60" i="22"/>
  <c r="AY60" i="22"/>
  <c r="AX60" i="22"/>
  <c r="AW60" i="22"/>
  <c r="AV60" i="22"/>
  <c r="AT60" i="22"/>
  <c r="AS60" i="22"/>
  <c r="AR60" i="22"/>
  <c r="AQ60" i="22"/>
  <c r="AP60" i="22"/>
  <c r="AO60" i="22"/>
  <c r="AN60" i="22"/>
  <c r="AM60" i="22"/>
  <c r="AL60" i="22"/>
  <c r="AK60" i="22"/>
  <c r="AJ60" i="22"/>
  <c r="AI60" i="22"/>
  <c r="AH60" i="22"/>
  <c r="AG60" i="22"/>
  <c r="AF60" i="22"/>
  <c r="AE60" i="22"/>
  <c r="AD60" i="22"/>
  <c r="AB60" i="22"/>
  <c r="AA60" i="22"/>
  <c r="BI59" i="22"/>
  <c r="BH59" i="22"/>
  <c r="BG59" i="22"/>
  <c r="BF59" i="22"/>
  <c r="BE59" i="22"/>
  <c r="BD59" i="22"/>
  <c r="BC59" i="22"/>
  <c r="BB59" i="22"/>
  <c r="BA59" i="22"/>
  <c r="AZ59" i="22"/>
  <c r="AY59" i="22"/>
  <c r="AX59" i="22"/>
  <c r="AW59" i="22"/>
  <c r="AV59" i="22"/>
  <c r="AT59" i="22"/>
  <c r="AS59" i="22"/>
  <c r="AR59" i="22"/>
  <c r="AQ59" i="22"/>
  <c r="AP59" i="22"/>
  <c r="AO59" i="22"/>
  <c r="AN59" i="22"/>
  <c r="AM59" i="22"/>
  <c r="AL59" i="22"/>
  <c r="AK59" i="22"/>
  <c r="AJ59" i="22"/>
  <c r="AI59" i="22"/>
  <c r="AH59" i="22"/>
  <c r="AG59" i="22"/>
  <c r="AF59" i="22"/>
  <c r="AE59" i="22"/>
  <c r="AD59" i="22"/>
  <c r="AB59" i="22"/>
  <c r="AA59" i="22"/>
  <c r="BI58" i="22"/>
  <c r="BH58" i="22"/>
  <c r="BG58" i="22"/>
  <c r="BF58" i="22"/>
  <c r="BE58" i="22"/>
  <c r="BD58" i="22"/>
  <c r="BC58" i="22"/>
  <c r="BB58" i="22"/>
  <c r="BA58" i="22"/>
  <c r="AZ58" i="22"/>
  <c r="AY58" i="22"/>
  <c r="AX58" i="22"/>
  <c r="AW58" i="22"/>
  <c r="AV58" i="22"/>
  <c r="AT58" i="22"/>
  <c r="AS58" i="22"/>
  <c r="AR58" i="22"/>
  <c r="AQ58" i="22"/>
  <c r="AP58" i="22"/>
  <c r="AO58" i="22"/>
  <c r="AN58" i="22"/>
  <c r="AM58" i="22"/>
  <c r="AL58" i="22"/>
  <c r="AK58" i="22"/>
  <c r="AJ58" i="22"/>
  <c r="AI58" i="22"/>
  <c r="AH58" i="22"/>
  <c r="AG58" i="22"/>
  <c r="AF58" i="22"/>
  <c r="AE58" i="22"/>
  <c r="AD58" i="22"/>
  <c r="AB58" i="22"/>
  <c r="AA58" i="22"/>
  <c r="AT57" i="22"/>
  <c r="AS57" i="22"/>
  <c r="AR57" i="22"/>
  <c r="AQ57" i="22"/>
  <c r="AP57" i="22"/>
  <c r="AO57" i="22"/>
  <c r="AN57" i="22"/>
  <c r="AM57" i="22"/>
  <c r="AL57" i="22"/>
  <c r="AK57" i="22"/>
  <c r="AJ57" i="22"/>
  <c r="AI57" i="22"/>
  <c r="AH57" i="22"/>
  <c r="AG57" i="22"/>
  <c r="AF57" i="22"/>
  <c r="AE57" i="22"/>
  <c r="AD57" i="22"/>
  <c r="AB57" i="22"/>
  <c r="AA57" i="22"/>
  <c r="O57" i="22"/>
  <c r="BI56" i="22"/>
  <c r="BH56" i="22"/>
  <c r="BG56" i="22"/>
  <c r="BF56" i="22"/>
  <c r="BE56" i="22"/>
  <c r="BD56" i="22"/>
  <c r="BC56" i="22"/>
  <c r="BB56" i="22"/>
  <c r="BA56" i="22"/>
  <c r="AZ56" i="22"/>
  <c r="AY56" i="22"/>
  <c r="AX56" i="22"/>
  <c r="AW56" i="22"/>
  <c r="AV56" i="22"/>
  <c r="AT56" i="22"/>
  <c r="AS56" i="22"/>
  <c r="AR56" i="22"/>
  <c r="AQ56" i="22"/>
  <c r="AP56" i="22"/>
  <c r="AO56" i="22"/>
  <c r="AN56" i="22"/>
  <c r="AM56" i="22"/>
  <c r="AL56" i="22"/>
  <c r="AK56" i="22"/>
  <c r="AJ56" i="22"/>
  <c r="AI56" i="22"/>
  <c r="AH56" i="22"/>
  <c r="AG56" i="22"/>
  <c r="AF56" i="22"/>
  <c r="AE56" i="22"/>
  <c r="AD56" i="22"/>
  <c r="AB56" i="22"/>
  <c r="AA56" i="22"/>
  <c r="BI55" i="22"/>
  <c r="BH55" i="22"/>
  <c r="BG55" i="22"/>
  <c r="BF55" i="22"/>
  <c r="BE55" i="22"/>
  <c r="BD55" i="22"/>
  <c r="BC55" i="22"/>
  <c r="BB55" i="22"/>
  <c r="BA55" i="22"/>
  <c r="AZ55" i="22"/>
  <c r="AY55" i="22"/>
  <c r="AX55" i="22"/>
  <c r="AW55" i="22"/>
  <c r="AV55" i="22"/>
  <c r="AT55" i="22"/>
  <c r="AS55" i="22"/>
  <c r="AR55" i="22"/>
  <c r="AQ55" i="22"/>
  <c r="AP55" i="22"/>
  <c r="AO55" i="22"/>
  <c r="AN55" i="22"/>
  <c r="AM55" i="22"/>
  <c r="AL55" i="22"/>
  <c r="AK55" i="22"/>
  <c r="AJ55" i="22"/>
  <c r="AI55" i="22"/>
  <c r="AH55" i="22"/>
  <c r="AG55" i="22"/>
  <c r="AF55" i="22"/>
  <c r="AE55" i="22"/>
  <c r="AD55" i="22"/>
  <c r="AB55" i="22"/>
  <c r="AA55" i="22"/>
  <c r="BI54" i="22"/>
  <c r="BH54" i="22"/>
  <c r="BG54" i="22"/>
  <c r="BF54" i="22"/>
  <c r="BE54" i="22"/>
  <c r="BD54" i="22"/>
  <c r="BC54" i="22"/>
  <c r="BB54" i="22"/>
  <c r="BA54" i="22"/>
  <c r="AZ54" i="22"/>
  <c r="AY54" i="22"/>
  <c r="AX54" i="22"/>
  <c r="AW54" i="22"/>
  <c r="AV54" i="22"/>
  <c r="AT54" i="22"/>
  <c r="AS54" i="22"/>
  <c r="AR54" i="22"/>
  <c r="AQ54" i="22"/>
  <c r="AP54" i="22"/>
  <c r="AO54" i="22"/>
  <c r="AN54" i="22"/>
  <c r="AM54" i="22"/>
  <c r="AL54" i="22"/>
  <c r="AK54" i="22"/>
  <c r="AJ54" i="22"/>
  <c r="AI54" i="22"/>
  <c r="AH54" i="22"/>
  <c r="AG54" i="22"/>
  <c r="AF54" i="22"/>
  <c r="AE54" i="22"/>
  <c r="AD54" i="22"/>
  <c r="AB54" i="22"/>
  <c r="AA54" i="22"/>
  <c r="BI53" i="22"/>
  <c r="BH53" i="22"/>
  <c r="BG53" i="22"/>
  <c r="BF53" i="22"/>
  <c r="BE53" i="22"/>
  <c r="BD53" i="22"/>
  <c r="BC53" i="22"/>
  <c r="BB53" i="22"/>
  <c r="BA53" i="22"/>
  <c r="AZ53" i="22"/>
  <c r="AY53" i="22"/>
  <c r="AX53" i="22"/>
  <c r="AW53" i="22"/>
  <c r="AV53" i="22"/>
  <c r="AT53" i="22"/>
  <c r="AS53" i="22"/>
  <c r="AR53" i="22"/>
  <c r="AQ53" i="22"/>
  <c r="AP53" i="22"/>
  <c r="AO53" i="22"/>
  <c r="AN53" i="22"/>
  <c r="AM53" i="22"/>
  <c r="AL53" i="22"/>
  <c r="AK53" i="22"/>
  <c r="AJ53" i="22"/>
  <c r="AI53" i="22"/>
  <c r="AH53" i="22"/>
  <c r="AG53" i="22"/>
  <c r="AF53" i="22"/>
  <c r="AE53" i="22"/>
  <c r="AD53" i="22"/>
  <c r="AB53" i="22"/>
  <c r="AA53" i="22"/>
  <c r="BI52" i="22"/>
  <c r="BH52" i="22"/>
  <c r="BG52" i="22"/>
  <c r="BF52" i="22"/>
  <c r="BE52" i="22"/>
  <c r="BD52" i="22"/>
  <c r="BC52" i="22"/>
  <c r="BB52" i="22"/>
  <c r="BA52" i="22"/>
  <c r="AZ52" i="22"/>
  <c r="AY52" i="22"/>
  <c r="AX52" i="22"/>
  <c r="AW52" i="22"/>
  <c r="AV52" i="22"/>
  <c r="AT52" i="22"/>
  <c r="AS52" i="22"/>
  <c r="AR52" i="22"/>
  <c r="AQ52" i="22"/>
  <c r="AP52" i="22"/>
  <c r="AO52" i="22"/>
  <c r="AN52" i="22"/>
  <c r="AM52" i="22"/>
  <c r="AL52" i="22"/>
  <c r="AK52" i="22"/>
  <c r="AJ52" i="22"/>
  <c r="AI52" i="22"/>
  <c r="AH52" i="22"/>
  <c r="AG52" i="22"/>
  <c r="AF52" i="22"/>
  <c r="AE52" i="22"/>
  <c r="AD52" i="22"/>
  <c r="AB52" i="22"/>
  <c r="AA52" i="22"/>
  <c r="BI51" i="22"/>
  <c r="BH51" i="22"/>
  <c r="BG51" i="22"/>
  <c r="BF51" i="22"/>
  <c r="BE51" i="22"/>
  <c r="BD51" i="22"/>
  <c r="BC51" i="22"/>
  <c r="BB51" i="22"/>
  <c r="BA51" i="22"/>
  <c r="AZ51" i="22"/>
  <c r="AY51" i="22"/>
  <c r="AX51" i="22"/>
  <c r="AW51" i="22"/>
  <c r="AV51" i="22"/>
  <c r="AT51" i="22"/>
  <c r="AS51" i="22"/>
  <c r="AR51" i="22"/>
  <c r="AQ51" i="22"/>
  <c r="AP51" i="22"/>
  <c r="AO51" i="22"/>
  <c r="AN51" i="22"/>
  <c r="AM51" i="22"/>
  <c r="AL51" i="22"/>
  <c r="AK51" i="22"/>
  <c r="AJ51" i="22"/>
  <c r="AI51" i="22"/>
  <c r="AH51" i="22"/>
  <c r="AG51" i="22"/>
  <c r="AF51" i="22"/>
  <c r="AE51" i="22"/>
  <c r="AD51" i="22"/>
  <c r="AB51" i="22"/>
  <c r="AA51" i="22"/>
  <c r="BI50" i="22"/>
  <c r="BH50" i="22"/>
  <c r="BG50" i="22"/>
  <c r="BF50" i="22"/>
  <c r="BE50" i="22"/>
  <c r="BD50" i="22"/>
  <c r="BC50" i="22"/>
  <c r="BB50" i="22"/>
  <c r="BA50" i="22"/>
  <c r="AZ50" i="22"/>
  <c r="AY50" i="22"/>
  <c r="AX50" i="22"/>
  <c r="AW50" i="22"/>
  <c r="AV50" i="22"/>
  <c r="AT50" i="22"/>
  <c r="AS50" i="22"/>
  <c r="AR50" i="22"/>
  <c r="AQ50" i="22"/>
  <c r="AP50" i="22"/>
  <c r="AO50" i="22"/>
  <c r="AN50" i="22"/>
  <c r="AM50" i="22"/>
  <c r="AL50" i="22"/>
  <c r="AK50" i="22"/>
  <c r="AJ50" i="22"/>
  <c r="AI50" i="22"/>
  <c r="AH50" i="22"/>
  <c r="AG50" i="22"/>
  <c r="AF50" i="22"/>
  <c r="AE50" i="22"/>
  <c r="AD50" i="22"/>
  <c r="AB50" i="22"/>
  <c r="AA50" i="22"/>
  <c r="BI49" i="22"/>
  <c r="BH49" i="22"/>
  <c r="BG49" i="22"/>
  <c r="BF49" i="22"/>
  <c r="BE49" i="22"/>
  <c r="BD49" i="22"/>
  <c r="BC49" i="22"/>
  <c r="BB49" i="22"/>
  <c r="BA49" i="22"/>
  <c r="AZ49" i="22"/>
  <c r="AY49" i="22"/>
  <c r="AX49" i="22"/>
  <c r="AW49" i="22"/>
  <c r="AV49" i="22"/>
  <c r="AT49" i="22"/>
  <c r="AS49" i="22"/>
  <c r="AR49" i="22"/>
  <c r="AQ49" i="22"/>
  <c r="AP49" i="22"/>
  <c r="AO49" i="22"/>
  <c r="AN49" i="22"/>
  <c r="AM49" i="22"/>
  <c r="AL49" i="22"/>
  <c r="AK49" i="22"/>
  <c r="AJ49" i="22"/>
  <c r="AI49" i="22"/>
  <c r="AH49" i="22"/>
  <c r="AG49" i="22"/>
  <c r="AF49" i="22"/>
  <c r="AE49" i="22"/>
  <c r="AD49" i="22"/>
  <c r="AB49" i="22"/>
  <c r="AA49" i="22"/>
  <c r="BI48" i="22"/>
  <c r="BH48" i="22"/>
  <c r="BG48" i="22"/>
  <c r="BF48" i="22"/>
  <c r="BE48" i="22"/>
  <c r="BD48" i="22"/>
  <c r="BC48" i="22"/>
  <c r="BB48" i="22"/>
  <c r="BA48" i="22"/>
  <c r="AZ48" i="22"/>
  <c r="AY48" i="22"/>
  <c r="AX48" i="22"/>
  <c r="AW48" i="22"/>
  <c r="AV48" i="22"/>
  <c r="AT48" i="22"/>
  <c r="AS48" i="22"/>
  <c r="AR48" i="22"/>
  <c r="AQ48" i="22"/>
  <c r="AP48" i="22"/>
  <c r="AO48" i="22"/>
  <c r="AN48" i="22"/>
  <c r="AM48" i="22"/>
  <c r="AL48" i="22"/>
  <c r="AK48" i="22"/>
  <c r="AJ48" i="22"/>
  <c r="AI48" i="22"/>
  <c r="AH48" i="22"/>
  <c r="AG48" i="22"/>
  <c r="AF48" i="22"/>
  <c r="AE48" i="22"/>
  <c r="AD48" i="22"/>
  <c r="AB48" i="22"/>
  <c r="AA48" i="22"/>
  <c r="BI47" i="22"/>
  <c r="BH47" i="22"/>
  <c r="BG47" i="22"/>
  <c r="BF47" i="22"/>
  <c r="BE47" i="22"/>
  <c r="BD47" i="22"/>
  <c r="BC47" i="22"/>
  <c r="BB47" i="22"/>
  <c r="BA47" i="22"/>
  <c r="AZ47" i="22"/>
  <c r="AY47" i="22"/>
  <c r="AX47" i="22"/>
  <c r="AW47" i="22"/>
  <c r="AV47" i="22"/>
  <c r="AT47" i="22"/>
  <c r="AS47" i="22"/>
  <c r="AR47" i="22"/>
  <c r="AQ47" i="22"/>
  <c r="AP47" i="22"/>
  <c r="AO47" i="22"/>
  <c r="AN47" i="22"/>
  <c r="AM47" i="22"/>
  <c r="AL47" i="22"/>
  <c r="AK47" i="22"/>
  <c r="AJ47" i="22"/>
  <c r="AI47" i="22"/>
  <c r="AH47" i="22"/>
  <c r="AG47" i="22"/>
  <c r="AF47" i="22"/>
  <c r="AE47" i="22"/>
  <c r="AD47" i="22"/>
  <c r="AB47" i="22"/>
  <c r="AA47" i="22"/>
  <c r="BI46" i="22"/>
  <c r="BH46" i="22"/>
  <c r="BG46" i="22"/>
  <c r="BF46" i="22"/>
  <c r="BE46" i="22"/>
  <c r="BD46" i="22"/>
  <c r="BC46" i="22"/>
  <c r="BB46" i="22"/>
  <c r="BA46" i="22"/>
  <c r="AZ46" i="22"/>
  <c r="AY46" i="22"/>
  <c r="AX46" i="22"/>
  <c r="AW46" i="22"/>
  <c r="AV46" i="22"/>
  <c r="AT46" i="22"/>
  <c r="AS46" i="22"/>
  <c r="AR46" i="22"/>
  <c r="AQ46" i="22"/>
  <c r="AP46" i="22"/>
  <c r="AO46" i="22"/>
  <c r="AN46" i="22"/>
  <c r="AM46" i="22"/>
  <c r="AL46" i="22"/>
  <c r="AK46" i="22"/>
  <c r="AJ46" i="22"/>
  <c r="AI46" i="22"/>
  <c r="AH46" i="22"/>
  <c r="AG46" i="22"/>
  <c r="AF46" i="22"/>
  <c r="AE46" i="22"/>
  <c r="AD46" i="22"/>
  <c r="AB46" i="22"/>
  <c r="AA46" i="22"/>
  <c r="BI45" i="22"/>
  <c r="BH45" i="22"/>
  <c r="BG45" i="22"/>
  <c r="BF45" i="22"/>
  <c r="BE45" i="22"/>
  <c r="BD45" i="22"/>
  <c r="BC45" i="22"/>
  <c r="BB45" i="22"/>
  <c r="BA45" i="22"/>
  <c r="AZ45" i="22"/>
  <c r="AY45" i="22"/>
  <c r="AX45" i="22"/>
  <c r="AW45" i="22"/>
  <c r="AV45" i="22"/>
  <c r="AT45" i="22"/>
  <c r="AS45" i="22"/>
  <c r="AR45" i="22"/>
  <c r="AQ45" i="22"/>
  <c r="AP45" i="22"/>
  <c r="AO45" i="22"/>
  <c r="AN45" i="22"/>
  <c r="AM45" i="22"/>
  <c r="AL45" i="22"/>
  <c r="AK45" i="22"/>
  <c r="AJ45" i="22"/>
  <c r="AI45" i="22"/>
  <c r="AH45" i="22"/>
  <c r="AG45" i="22"/>
  <c r="AF45" i="22"/>
  <c r="AE45" i="22"/>
  <c r="AD45" i="22"/>
  <c r="AB45" i="22"/>
  <c r="AA45" i="22"/>
  <c r="BI44" i="22"/>
  <c r="BH44" i="22"/>
  <c r="BG44" i="22"/>
  <c r="BF44" i="22"/>
  <c r="BE44" i="22"/>
  <c r="BD44" i="22"/>
  <c r="BC44" i="22"/>
  <c r="BB44" i="22"/>
  <c r="BA44" i="22"/>
  <c r="AZ44" i="22"/>
  <c r="AY44" i="22"/>
  <c r="AX44" i="22"/>
  <c r="AW44" i="22"/>
  <c r="AV44" i="22"/>
  <c r="AT44" i="22"/>
  <c r="AS44" i="22"/>
  <c r="AR44" i="22"/>
  <c r="AQ44" i="22"/>
  <c r="AP44" i="22"/>
  <c r="AO44" i="22"/>
  <c r="AN44" i="22"/>
  <c r="AM44" i="22"/>
  <c r="AL44" i="22"/>
  <c r="AK44" i="22"/>
  <c r="AJ44" i="22"/>
  <c r="AI44" i="22"/>
  <c r="AH44" i="22"/>
  <c r="AG44" i="22"/>
  <c r="AF44" i="22"/>
  <c r="AE44" i="22"/>
  <c r="AD44" i="22"/>
  <c r="AB44" i="22"/>
  <c r="AA44" i="22"/>
  <c r="BI43" i="22"/>
  <c r="BH43" i="22"/>
  <c r="BG43" i="22"/>
  <c r="BF43" i="22"/>
  <c r="BE43" i="22"/>
  <c r="BD43" i="22"/>
  <c r="BC43" i="22"/>
  <c r="BB43" i="22"/>
  <c r="BA43" i="22"/>
  <c r="AZ43" i="22"/>
  <c r="AY43" i="22"/>
  <c r="AX43" i="22"/>
  <c r="AW43" i="22"/>
  <c r="AV43" i="22"/>
  <c r="AT43" i="22"/>
  <c r="AS43" i="22"/>
  <c r="AR43" i="22"/>
  <c r="AQ43" i="22"/>
  <c r="AP43" i="22"/>
  <c r="AO43" i="22"/>
  <c r="AN43" i="22"/>
  <c r="AM43" i="22"/>
  <c r="AL43" i="22"/>
  <c r="AK43" i="22"/>
  <c r="AJ43" i="22"/>
  <c r="AI43" i="22"/>
  <c r="AH43" i="22"/>
  <c r="AG43" i="22"/>
  <c r="AF43" i="22"/>
  <c r="AE43" i="22"/>
  <c r="AD43" i="22"/>
  <c r="AB43" i="22"/>
  <c r="AA43" i="22"/>
  <c r="BI42" i="22"/>
  <c r="BH42" i="22"/>
  <c r="BG42" i="22"/>
  <c r="BF42" i="22"/>
  <c r="BE42" i="22"/>
  <c r="BD42" i="22"/>
  <c r="BC42" i="22"/>
  <c r="BB42" i="22"/>
  <c r="BA42" i="22"/>
  <c r="AZ42" i="22"/>
  <c r="AY42" i="22"/>
  <c r="AX42" i="22"/>
  <c r="AW42" i="22"/>
  <c r="AV42" i="22"/>
  <c r="AT42" i="22"/>
  <c r="AS42" i="22"/>
  <c r="AR42" i="22"/>
  <c r="AQ42" i="22"/>
  <c r="AP42" i="22"/>
  <c r="AO42" i="22"/>
  <c r="AN42" i="22"/>
  <c r="AM42" i="22"/>
  <c r="AL42" i="22"/>
  <c r="AK42" i="22"/>
  <c r="AJ42" i="22"/>
  <c r="AI42" i="22"/>
  <c r="AH42" i="22"/>
  <c r="AG42" i="22"/>
  <c r="AF42" i="22"/>
  <c r="AE42" i="22"/>
  <c r="AD42" i="22"/>
  <c r="AB42" i="22"/>
  <c r="AA42" i="22"/>
  <c r="BI41" i="22"/>
  <c r="BH41" i="22"/>
  <c r="BG41" i="22"/>
  <c r="BF41" i="22"/>
  <c r="BE41" i="22"/>
  <c r="BD41" i="22"/>
  <c r="BC41" i="22"/>
  <c r="BB41" i="22"/>
  <c r="BA41" i="22"/>
  <c r="AZ41" i="22"/>
  <c r="AY41" i="22"/>
  <c r="AX41" i="22"/>
  <c r="AW41" i="22"/>
  <c r="AV41" i="22"/>
  <c r="AT41" i="22"/>
  <c r="AS41" i="22"/>
  <c r="AR41" i="22"/>
  <c r="AQ41" i="22"/>
  <c r="AP41" i="22"/>
  <c r="AO41" i="22"/>
  <c r="AN41" i="22"/>
  <c r="AM41" i="22"/>
  <c r="AL41" i="22"/>
  <c r="AK41" i="22"/>
  <c r="AJ41" i="22"/>
  <c r="AI41" i="22"/>
  <c r="AH41" i="22"/>
  <c r="AG41" i="22"/>
  <c r="AF41" i="22"/>
  <c r="AE41" i="22"/>
  <c r="AD41" i="22"/>
  <c r="AB41" i="22"/>
  <c r="AA41" i="22"/>
  <c r="BI40" i="22"/>
  <c r="BH40" i="22"/>
  <c r="BG40" i="22"/>
  <c r="BF40" i="22"/>
  <c r="BE40" i="22"/>
  <c r="BD40" i="22"/>
  <c r="BC40" i="22"/>
  <c r="BB40" i="22"/>
  <c r="BA40" i="22"/>
  <c r="AZ40" i="22"/>
  <c r="AY40" i="22"/>
  <c r="AX40" i="22"/>
  <c r="AW40" i="22"/>
  <c r="AV40" i="22"/>
  <c r="AT40" i="22"/>
  <c r="AS40" i="22"/>
  <c r="AR40" i="22"/>
  <c r="AQ40" i="22"/>
  <c r="AP40" i="22"/>
  <c r="AO40" i="22"/>
  <c r="AN40" i="22"/>
  <c r="AM40" i="22"/>
  <c r="AL40" i="22"/>
  <c r="AK40" i="22"/>
  <c r="AJ40" i="22"/>
  <c r="AI40" i="22"/>
  <c r="AH40" i="22"/>
  <c r="AG40" i="22"/>
  <c r="AF40" i="22"/>
  <c r="AE40" i="22"/>
  <c r="AD40" i="22"/>
  <c r="AB40" i="22"/>
  <c r="AA40" i="22"/>
  <c r="BI39" i="22"/>
  <c r="BH39" i="22"/>
  <c r="BG39" i="22"/>
  <c r="BF39" i="22"/>
  <c r="BE39" i="22"/>
  <c r="BD39" i="22"/>
  <c r="BC39" i="22"/>
  <c r="BB39" i="22"/>
  <c r="BA39" i="22"/>
  <c r="AZ39" i="22"/>
  <c r="AY39" i="22"/>
  <c r="AX39" i="22"/>
  <c r="AW39" i="22"/>
  <c r="AV39" i="22"/>
  <c r="AT39" i="22"/>
  <c r="AS39" i="22"/>
  <c r="AR39" i="22"/>
  <c r="AQ39" i="22"/>
  <c r="AP39" i="22"/>
  <c r="AO39" i="22"/>
  <c r="AN39" i="22"/>
  <c r="AM39" i="22"/>
  <c r="AL39" i="22"/>
  <c r="AK39" i="22"/>
  <c r="AJ39" i="22"/>
  <c r="AI39" i="22"/>
  <c r="AH39" i="22"/>
  <c r="AG39" i="22"/>
  <c r="AF39" i="22"/>
  <c r="AE39" i="22"/>
  <c r="AD39" i="22"/>
  <c r="AB39" i="22"/>
  <c r="AA39" i="22"/>
  <c r="BI38" i="22"/>
  <c r="BH38" i="22"/>
  <c r="BG38" i="22"/>
  <c r="BF38" i="22"/>
  <c r="BE38" i="22"/>
  <c r="BD38" i="22"/>
  <c r="BC38" i="22"/>
  <c r="BB38" i="22"/>
  <c r="BA38" i="22"/>
  <c r="AZ38" i="22"/>
  <c r="AY38" i="22"/>
  <c r="AX38" i="22"/>
  <c r="AW38" i="22"/>
  <c r="AV38" i="22"/>
  <c r="AT38" i="22"/>
  <c r="AS38" i="22"/>
  <c r="AR38" i="22"/>
  <c r="AQ38" i="22"/>
  <c r="AP38" i="22"/>
  <c r="AO38" i="22"/>
  <c r="AN38" i="22"/>
  <c r="AM38" i="22"/>
  <c r="AL38" i="22"/>
  <c r="AK38" i="22"/>
  <c r="AJ38" i="22"/>
  <c r="AI38" i="22"/>
  <c r="AH38" i="22"/>
  <c r="AG38" i="22"/>
  <c r="AF38" i="22"/>
  <c r="AE38" i="22"/>
  <c r="AD38" i="22"/>
  <c r="AB38" i="22"/>
  <c r="AA38" i="22"/>
  <c r="BI37" i="22"/>
  <c r="BH37" i="22"/>
  <c r="BG37" i="22"/>
  <c r="BF37" i="22"/>
  <c r="BE37" i="22"/>
  <c r="BD37" i="22"/>
  <c r="BC37" i="22"/>
  <c r="BB37" i="22"/>
  <c r="BA37" i="22"/>
  <c r="AZ37" i="22"/>
  <c r="AY37" i="22"/>
  <c r="AX37" i="22"/>
  <c r="AW37" i="22"/>
  <c r="AV37" i="22"/>
  <c r="AT37" i="22"/>
  <c r="AS37" i="22"/>
  <c r="AR37" i="22"/>
  <c r="AQ37" i="22"/>
  <c r="AP37" i="22"/>
  <c r="AO37" i="22"/>
  <c r="AN37" i="22"/>
  <c r="AM37" i="22"/>
  <c r="AL37" i="22"/>
  <c r="AK37" i="22"/>
  <c r="AJ37" i="22"/>
  <c r="AI37" i="22"/>
  <c r="AH37" i="22"/>
  <c r="AG37" i="22"/>
  <c r="AF37" i="22"/>
  <c r="AE37" i="22"/>
  <c r="AD37" i="22"/>
  <c r="AB37" i="22"/>
  <c r="AA37" i="22"/>
  <c r="BI36" i="22"/>
  <c r="BH36" i="22"/>
  <c r="BG36" i="22"/>
  <c r="BF36" i="22"/>
  <c r="BE36" i="22"/>
  <c r="BD36" i="22"/>
  <c r="BC36" i="22"/>
  <c r="BB36" i="22"/>
  <c r="BA36" i="22"/>
  <c r="AZ36" i="22"/>
  <c r="AY36" i="22"/>
  <c r="AX36" i="22"/>
  <c r="AW36" i="22"/>
  <c r="AV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B36" i="22"/>
  <c r="AA36" i="22"/>
  <c r="BI35" i="22"/>
  <c r="BH35" i="22"/>
  <c r="BG35" i="22"/>
  <c r="BF35" i="22"/>
  <c r="BE35" i="22"/>
  <c r="BD35" i="22"/>
  <c r="BC35" i="22"/>
  <c r="BB35" i="22"/>
  <c r="BA35" i="22"/>
  <c r="AZ35" i="22"/>
  <c r="AY35" i="22"/>
  <c r="AX35" i="22"/>
  <c r="AW35" i="22"/>
  <c r="AV35" i="22"/>
  <c r="AT35" i="22"/>
  <c r="AS35" i="22"/>
  <c r="AR35" i="22"/>
  <c r="AQ35" i="22"/>
  <c r="AP35" i="22"/>
  <c r="AO35" i="22"/>
  <c r="AN35" i="22"/>
  <c r="AM35" i="22"/>
  <c r="AL35" i="22"/>
  <c r="AK35" i="22"/>
  <c r="AJ35" i="22"/>
  <c r="AI35" i="22"/>
  <c r="AH35" i="22"/>
  <c r="AG35" i="22"/>
  <c r="AF35" i="22"/>
  <c r="AE35" i="22"/>
  <c r="AD35" i="22"/>
  <c r="AB35" i="22"/>
  <c r="AA35" i="22"/>
  <c r="BI34" i="22"/>
  <c r="BH34" i="22"/>
  <c r="BG34" i="22"/>
  <c r="BF34" i="22"/>
  <c r="BE34" i="22"/>
  <c r="BD34" i="22"/>
  <c r="BC34" i="22"/>
  <c r="BB34" i="22"/>
  <c r="BA34" i="22"/>
  <c r="AZ34" i="22"/>
  <c r="AY34" i="22"/>
  <c r="AX34" i="22"/>
  <c r="AW34" i="22"/>
  <c r="AV34" i="22"/>
  <c r="AT34" i="22"/>
  <c r="AS34" i="22"/>
  <c r="AR34" i="22"/>
  <c r="AQ34" i="22"/>
  <c r="AP34" i="22"/>
  <c r="AO34" i="22"/>
  <c r="AN34" i="22"/>
  <c r="AM34" i="22"/>
  <c r="AL34" i="22"/>
  <c r="AK34" i="22"/>
  <c r="AJ34" i="22"/>
  <c r="AI34" i="22"/>
  <c r="AH34" i="22"/>
  <c r="AG34" i="22"/>
  <c r="AF34" i="22"/>
  <c r="AE34" i="22"/>
  <c r="AD34" i="22"/>
  <c r="AB34" i="22"/>
  <c r="AA34" i="22"/>
  <c r="BI33" i="22"/>
  <c r="BH33" i="22"/>
  <c r="BG33" i="22"/>
  <c r="BF33" i="22"/>
  <c r="BE33" i="22"/>
  <c r="BD33" i="22"/>
  <c r="BC33" i="22"/>
  <c r="BB33" i="22"/>
  <c r="BA33" i="22"/>
  <c r="AZ33" i="22"/>
  <c r="AY33" i="22"/>
  <c r="AX33" i="22"/>
  <c r="AW33" i="22"/>
  <c r="AV33" i="22"/>
  <c r="AT33" i="22"/>
  <c r="AS33" i="22"/>
  <c r="AR33" i="22"/>
  <c r="AQ33" i="22"/>
  <c r="AP33" i="22"/>
  <c r="AO33" i="22"/>
  <c r="AN33" i="22"/>
  <c r="AM33" i="22"/>
  <c r="AL33" i="22"/>
  <c r="AK33" i="22"/>
  <c r="AJ33" i="22"/>
  <c r="AI33" i="22"/>
  <c r="AH33" i="22"/>
  <c r="AG33" i="22"/>
  <c r="AF33" i="22"/>
  <c r="AE33" i="22"/>
  <c r="AD33" i="22"/>
  <c r="AB33" i="22"/>
  <c r="AA33" i="22"/>
  <c r="BI32" i="22"/>
  <c r="BH32" i="22"/>
  <c r="BG32" i="22"/>
  <c r="BF32" i="22"/>
  <c r="BE32" i="22"/>
  <c r="BD32" i="22"/>
  <c r="BC32" i="22"/>
  <c r="BB32" i="22"/>
  <c r="BA32" i="22"/>
  <c r="AZ32" i="22"/>
  <c r="AY32" i="22"/>
  <c r="AX32" i="22"/>
  <c r="AW32" i="22"/>
  <c r="AV32" i="22"/>
  <c r="AT32" i="22"/>
  <c r="AS32" i="22"/>
  <c r="AR32" i="22"/>
  <c r="AQ32" i="22"/>
  <c r="AP32" i="22"/>
  <c r="AO32" i="22"/>
  <c r="AN32" i="22"/>
  <c r="AM32" i="22"/>
  <c r="AL32" i="22"/>
  <c r="AK32" i="22"/>
  <c r="AJ32" i="22"/>
  <c r="AI32" i="22"/>
  <c r="AH32" i="22"/>
  <c r="AG32" i="22"/>
  <c r="AF32" i="22"/>
  <c r="AE32" i="22"/>
  <c r="AD32" i="22"/>
  <c r="AB32" i="22"/>
  <c r="AA32" i="22"/>
  <c r="BI31" i="22"/>
  <c r="BH31" i="22"/>
  <c r="BG31" i="22"/>
  <c r="BF31" i="22"/>
  <c r="BE31" i="22"/>
  <c r="BD31" i="22"/>
  <c r="BC31" i="22"/>
  <c r="BB31" i="22"/>
  <c r="BA31" i="22"/>
  <c r="AZ31" i="22"/>
  <c r="AY31" i="22"/>
  <c r="AX31" i="22"/>
  <c r="AW31" i="22"/>
  <c r="AV31" i="22"/>
  <c r="AT31" i="22"/>
  <c r="AS31" i="22"/>
  <c r="AR31" i="22"/>
  <c r="AQ31" i="22"/>
  <c r="AP31" i="22"/>
  <c r="AO31" i="22"/>
  <c r="AN31" i="22"/>
  <c r="AM31" i="22"/>
  <c r="AL31" i="22"/>
  <c r="AK31" i="22"/>
  <c r="AJ31" i="22"/>
  <c r="AI31" i="22"/>
  <c r="AH31" i="22"/>
  <c r="AG31" i="22"/>
  <c r="AF31" i="22"/>
  <c r="AE31" i="22"/>
  <c r="AD31" i="22"/>
  <c r="AB31" i="22"/>
  <c r="AA31" i="22"/>
  <c r="BI30" i="22"/>
  <c r="BH30" i="22"/>
  <c r="BG30" i="22"/>
  <c r="BF30" i="22"/>
  <c r="BE30" i="22"/>
  <c r="BD30" i="22"/>
  <c r="BC30" i="22"/>
  <c r="BB30" i="22"/>
  <c r="BA30" i="22"/>
  <c r="AZ30" i="22"/>
  <c r="AY30" i="22"/>
  <c r="AX30" i="22"/>
  <c r="AW30" i="22"/>
  <c r="AV30" i="22"/>
  <c r="AT30" i="22"/>
  <c r="AS30" i="22"/>
  <c r="AR30" i="22"/>
  <c r="AQ30" i="22"/>
  <c r="AP30" i="22"/>
  <c r="AO30" i="22"/>
  <c r="AN30" i="22"/>
  <c r="AM30" i="22"/>
  <c r="AL30" i="22"/>
  <c r="AK30" i="22"/>
  <c r="AJ30" i="22"/>
  <c r="AI30" i="22"/>
  <c r="AH30" i="22"/>
  <c r="AG30" i="22"/>
  <c r="AF30" i="22"/>
  <c r="AE30" i="22"/>
  <c r="AD30" i="22"/>
  <c r="AB30" i="22"/>
  <c r="AA30" i="22"/>
  <c r="BI29" i="22"/>
  <c r="BH29" i="22"/>
  <c r="BG29" i="22"/>
  <c r="BF29" i="22"/>
  <c r="BE29" i="22"/>
  <c r="BD29" i="22"/>
  <c r="BC29" i="22"/>
  <c r="BB29" i="22"/>
  <c r="BA29" i="22"/>
  <c r="AZ29" i="22"/>
  <c r="AY29" i="22"/>
  <c r="AX29" i="22"/>
  <c r="AW29" i="22"/>
  <c r="AV29" i="22"/>
  <c r="AT29" i="22"/>
  <c r="AS29" i="22"/>
  <c r="AR29" i="22"/>
  <c r="AQ29" i="22"/>
  <c r="AP29" i="22"/>
  <c r="AO29" i="22"/>
  <c r="AN29" i="22"/>
  <c r="AM29" i="22"/>
  <c r="AL29" i="22"/>
  <c r="AK29" i="22"/>
  <c r="AJ29" i="22"/>
  <c r="AI29" i="22"/>
  <c r="AH29" i="22"/>
  <c r="AG29" i="22"/>
  <c r="AF29" i="22"/>
  <c r="AE29" i="22"/>
  <c r="AD29" i="22"/>
  <c r="AB29" i="22"/>
  <c r="AA29" i="22"/>
  <c r="BI28" i="22"/>
  <c r="BH28" i="22"/>
  <c r="BG28" i="22"/>
  <c r="BF28" i="22"/>
  <c r="BE28" i="22"/>
  <c r="BD28" i="22"/>
  <c r="BC28" i="22"/>
  <c r="BB28" i="22"/>
  <c r="BA28" i="22"/>
  <c r="AZ28" i="22"/>
  <c r="AY28" i="22"/>
  <c r="AX28" i="22"/>
  <c r="AW28" i="22"/>
  <c r="AV28" i="22"/>
  <c r="AT28" i="22"/>
  <c r="AS28" i="22"/>
  <c r="AR28" i="22"/>
  <c r="AQ28" i="22"/>
  <c r="AP28" i="22"/>
  <c r="AO28" i="22"/>
  <c r="AN28" i="22"/>
  <c r="AM28" i="22"/>
  <c r="AL28" i="22"/>
  <c r="AK28" i="22"/>
  <c r="AJ28" i="22"/>
  <c r="AI28" i="22"/>
  <c r="AH28" i="22"/>
  <c r="AG28" i="22"/>
  <c r="AF28" i="22"/>
  <c r="AE28" i="22"/>
  <c r="AD28" i="22"/>
  <c r="AB28" i="22"/>
  <c r="AA28" i="22"/>
  <c r="BI27" i="22"/>
  <c r="BH27" i="22"/>
  <c r="BG27" i="22"/>
  <c r="BF27" i="22"/>
  <c r="BE27" i="22"/>
  <c r="BD27" i="22"/>
  <c r="BC27" i="22"/>
  <c r="BB27" i="22"/>
  <c r="BA27" i="22"/>
  <c r="AZ27" i="22"/>
  <c r="AY27" i="22"/>
  <c r="AX27" i="22"/>
  <c r="AW27" i="22"/>
  <c r="AV27" i="22"/>
  <c r="AT27" i="22"/>
  <c r="AS27" i="22"/>
  <c r="AR27" i="22"/>
  <c r="AQ27" i="22"/>
  <c r="AP27" i="22"/>
  <c r="AO27" i="22"/>
  <c r="AN27" i="22"/>
  <c r="AM27" i="22"/>
  <c r="AL27" i="22"/>
  <c r="AK27" i="22"/>
  <c r="AJ27" i="22"/>
  <c r="AI27" i="22"/>
  <c r="AH27" i="22"/>
  <c r="AG27" i="22"/>
  <c r="AF27" i="22"/>
  <c r="AE27" i="22"/>
  <c r="AD27" i="22"/>
  <c r="AB27" i="22"/>
  <c r="AA27" i="22"/>
  <c r="BI26" i="22"/>
  <c r="BH26" i="22"/>
  <c r="BG26" i="22"/>
  <c r="BF26" i="22"/>
  <c r="BE26" i="22"/>
  <c r="BD26" i="22"/>
  <c r="BC26" i="22"/>
  <c r="BB26" i="22"/>
  <c r="BA26" i="22"/>
  <c r="AZ26" i="22"/>
  <c r="AY26" i="22"/>
  <c r="AX26" i="22"/>
  <c r="AW26" i="22"/>
  <c r="AV26" i="22"/>
  <c r="AT26" i="22"/>
  <c r="AS26" i="22"/>
  <c r="AR26" i="22"/>
  <c r="AQ26" i="22"/>
  <c r="AP26" i="22"/>
  <c r="AO26" i="22"/>
  <c r="AN26" i="22"/>
  <c r="AM26" i="22"/>
  <c r="AL26" i="22"/>
  <c r="AK26" i="22"/>
  <c r="AJ26" i="22"/>
  <c r="AI26" i="22"/>
  <c r="AH26" i="22"/>
  <c r="AG26" i="22"/>
  <c r="AF26" i="22"/>
  <c r="AE26" i="22"/>
  <c r="AD26" i="22"/>
  <c r="AB26" i="22"/>
  <c r="AA26" i="22"/>
  <c r="BI25" i="22"/>
  <c r="BH25" i="22"/>
  <c r="BG25" i="22"/>
  <c r="BF25" i="22"/>
  <c r="BE25" i="22"/>
  <c r="BD25" i="22"/>
  <c r="BC25" i="22"/>
  <c r="BB25" i="22"/>
  <c r="BA25" i="22"/>
  <c r="AZ25" i="22"/>
  <c r="AY25" i="22"/>
  <c r="AX25" i="22"/>
  <c r="AW25" i="22"/>
  <c r="AV25" i="22"/>
  <c r="AT25" i="22"/>
  <c r="AS25" i="22"/>
  <c r="AR25" i="22"/>
  <c r="AQ25" i="22"/>
  <c r="AP25" i="22"/>
  <c r="AO25" i="22"/>
  <c r="AN25" i="22"/>
  <c r="AM25" i="22"/>
  <c r="AL25" i="22"/>
  <c r="AK25" i="22"/>
  <c r="AJ25" i="22"/>
  <c r="AI25" i="22"/>
  <c r="AH25" i="22"/>
  <c r="AG25" i="22"/>
  <c r="AF25" i="22"/>
  <c r="AE25" i="22"/>
  <c r="AD25" i="22"/>
  <c r="AB25" i="22"/>
  <c r="AA25" i="22"/>
  <c r="BI24" i="22"/>
  <c r="BH24" i="22"/>
  <c r="BG24" i="22"/>
  <c r="BF24" i="22"/>
  <c r="BE24" i="22"/>
  <c r="BD24" i="22"/>
  <c r="BC24" i="22"/>
  <c r="BB24" i="22"/>
  <c r="BA24" i="22"/>
  <c r="AZ24" i="22"/>
  <c r="AY24" i="22"/>
  <c r="AX24" i="22"/>
  <c r="AW24" i="22"/>
  <c r="AV24" i="22"/>
  <c r="AT24" i="22"/>
  <c r="AS24" i="22"/>
  <c r="AR24" i="22"/>
  <c r="AQ24" i="22"/>
  <c r="AP24" i="22"/>
  <c r="AO24" i="22"/>
  <c r="AN24" i="22"/>
  <c r="AM24" i="22"/>
  <c r="AL24" i="22"/>
  <c r="AK24" i="22"/>
  <c r="AJ24" i="22"/>
  <c r="AI24" i="22"/>
  <c r="AH24" i="22"/>
  <c r="AG24" i="22"/>
  <c r="AF24" i="22"/>
  <c r="AE24" i="22"/>
  <c r="AD24" i="22"/>
  <c r="AB24" i="22"/>
  <c r="AA24" i="22"/>
  <c r="BI23" i="22"/>
  <c r="BH23" i="22"/>
  <c r="BG23" i="22"/>
  <c r="BF23" i="22"/>
  <c r="BE23" i="22"/>
  <c r="BD23" i="22"/>
  <c r="BC23" i="22"/>
  <c r="BB23" i="22"/>
  <c r="BA23" i="22"/>
  <c r="AZ23" i="22"/>
  <c r="AY23" i="22"/>
  <c r="AX23" i="22"/>
  <c r="AW23" i="22"/>
  <c r="AV23" i="22"/>
  <c r="AT23" i="22"/>
  <c r="AS23" i="22"/>
  <c r="AR23" i="22"/>
  <c r="AQ23" i="22"/>
  <c r="AP23" i="22"/>
  <c r="AO23" i="22"/>
  <c r="AN23" i="22"/>
  <c r="AM23" i="22"/>
  <c r="AL23" i="22"/>
  <c r="AK23" i="22"/>
  <c r="AJ23" i="22"/>
  <c r="AI23" i="22"/>
  <c r="AH23" i="22"/>
  <c r="AG23" i="22"/>
  <c r="AF23" i="22"/>
  <c r="AE23" i="22"/>
  <c r="AD23" i="22"/>
  <c r="AB23" i="22"/>
  <c r="AA23" i="22"/>
  <c r="BI22" i="22"/>
  <c r="BH22" i="22"/>
  <c r="BG22" i="22"/>
  <c r="BF22" i="22"/>
  <c r="BE22" i="22"/>
  <c r="BD22" i="22"/>
  <c r="BC22" i="22"/>
  <c r="BB22" i="22"/>
  <c r="BA22" i="22"/>
  <c r="AZ22" i="22"/>
  <c r="AY22" i="22"/>
  <c r="AX22" i="22"/>
  <c r="AW22" i="22"/>
  <c r="AV22" i="22"/>
  <c r="AT22" i="22"/>
  <c r="AS22" i="22"/>
  <c r="AR22" i="22"/>
  <c r="AQ22" i="22"/>
  <c r="AP22" i="22"/>
  <c r="AO22" i="22"/>
  <c r="AN22" i="22"/>
  <c r="AM22" i="22"/>
  <c r="AL22" i="22"/>
  <c r="AK22" i="22"/>
  <c r="AJ22" i="22"/>
  <c r="AI22" i="22"/>
  <c r="AH22" i="22"/>
  <c r="AG22" i="22"/>
  <c r="AF22" i="22"/>
  <c r="AE22" i="22"/>
  <c r="AD22" i="22"/>
  <c r="AB22" i="22"/>
  <c r="AA22" i="22"/>
  <c r="BI21" i="22"/>
  <c r="BH21" i="22"/>
  <c r="BG21" i="22"/>
  <c r="BF21" i="22"/>
  <c r="BE21" i="22"/>
  <c r="BD21" i="22"/>
  <c r="BC21" i="22"/>
  <c r="BB21" i="22"/>
  <c r="BA21" i="22"/>
  <c r="AZ21" i="22"/>
  <c r="AY21" i="22"/>
  <c r="AX21" i="22"/>
  <c r="AW21" i="22"/>
  <c r="AV21" i="22"/>
  <c r="AT21" i="22"/>
  <c r="AS21" i="22"/>
  <c r="AR21" i="22"/>
  <c r="AQ21" i="22"/>
  <c r="AP21" i="22"/>
  <c r="AO21" i="22"/>
  <c r="AN21" i="22"/>
  <c r="AM21" i="22"/>
  <c r="AL21" i="22"/>
  <c r="AK21" i="22"/>
  <c r="AJ21" i="22"/>
  <c r="AI21" i="22"/>
  <c r="AH21" i="22"/>
  <c r="AG21" i="22"/>
  <c r="AF21" i="22"/>
  <c r="AE21" i="22"/>
  <c r="AD21" i="22"/>
  <c r="AB21" i="22"/>
  <c r="AA21" i="22"/>
  <c r="BI20" i="22"/>
  <c r="BH20" i="22"/>
  <c r="BG20" i="22"/>
  <c r="BF20" i="22"/>
  <c r="BE20" i="22"/>
  <c r="BD20" i="22"/>
  <c r="BC20" i="22"/>
  <c r="BB20" i="22"/>
  <c r="BA20" i="22"/>
  <c r="AZ20" i="22"/>
  <c r="AY20" i="22"/>
  <c r="AX20" i="22"/>
  <c r="AW20" i="22"/>
  <c r="AV20" i="22"/>
  <c r="AT20" i="22"/>
  <c r="AS20" i="22"/>
  <c r="AR20" i="22"/>
  <c r="AQ20" i="22"/>
  <c r="AP20" i="22"/>
  <c r="AO20" i="22"/>
  <c r="AN20" i="22"/>
  <c r="AM20" i="22"/>
  <c r="AL20" i="22"/>
  <c r="AK20" i="22"/>
  <c r="AJ20" i="22"/>
  <c r="AI20" i="22"/>
  <c r="AH20" i="22"/>
  <c r="AG20" i="22"/>
  <c r="AF20" i="22"/>
  <c r="AE20" i="22"/>
  <c r="AD20" i="22"/>
  <c r="AB20" i="22"/>
  <c r="AA20" i="22"/>
  <c r="BI19" i="22"/>
  <c r="BH19" i="22"/>
  <c r="BG19" i="22"/>
  <c r="BF19" i="22"/>
  <c r="BE19" i="22"/>
  <c r="BD19" i="22"/>
  <c r="BC19" i="22"/>
  <c r="BB19" i="22"/>
  <c r="BA19" i="22"/>
  <c r="AZ19" i="22"/>
  <c r="AY19" i="22"/>
  <c r="AX19" i="22"/>
  <c r="AW19" i="22"/>
  <c r="AV19" i="22"/>
  <c r="AT19" i="22"/>
  <c r="AS19" i="22"/>
  <c r="AR19" i="22"/>
  <c r="AQ19" i="22"/>
  <c r="AP19" i="22"/>
  <c r="AO19" i="22"/>
  <c r="AN19" i="22"/>
  <c r="AM19" i="22"/>
  <c r="AL19" i="22"/>
  <c r="AK19" i="22"/>
  <c r="AJ19" i="22"/>
  <c r="AI19" i="22"/>
  <c r="AH19" i="22"/>
  <c r="AG19" i="22"/>
  <c r="AF19" i="22"/>
  <c r="AE19" i="22"/>
  <c r="AD19" i="22"/>
  <c r="AB19" i="22"/>
  <c r="AA19" i="22"/>
  <c r="BI18" i="22"/>
  <c r="BH18" i="22"/>
  <c r="BG18" i="22"/>
  <c r="BF18" i="22"/>
  <c r="BE18" i="22"/>
  <c r="BD18" i="22"/>
  <c r="BC18" i="22"/>
  <c r="BB18" i="22"/>
  <c r="BA18" i="22"/>
  <c r="AZ18" i="22"/>
  <c r="AY18" i="22"/>
  <c r="AX18" i="22"/>
  <c r="AW18" i="22"/>
  <c r="AV18" i="22"/>
  <c r="AT18" i="22"/>
  <c r="AS18" i="22"/>
  <c r="AR18" i="22"/>
  <c r="AQ18" i="22"/>
  <c r="AP18" i="22"/>
  <c r="AO18" i="22"/>
  <c r="AN18" i="22"/>
  <c r="AM18" i="22"/>
  <c r="AL18" i="22"/>
  <c r="AK18" i="22"/>
  <c r="AJ18" i="22"/>
  <c r="AI18" i="22"/>
  <c r="AH18" i="22"/>
  <c r="AG18" i="22"/>
  <c r="AF18" i="22"/>
  <c r="AE18" i="22"/>
  <c r="AD18" i="22"/>
  <c r="AB18" i="22"/>
  <c r="AA18" i="22"/>
  <c r="BI17" i="22"/>
  <c r="BH17" i="22"/>
  <c r="BG17" i="22"/>
  <c r="BF17" i="22"/>
  <c r="BE17" i="22"/>
  <c r="BD17" i="22"/>
  <c r="BC17" i="22"/>
  <c r="BB17" i="22"/>
  <c r="BA17" i="22"/>
  <c r="AZ17" i="22"/>
  <c r="AY17" i="22"/>
  <c r="AX17" i="22"/>
  <c r="AW17" i="22"/>
  <c r="AV17" i="22"/>
  <c r="AT17" i="22"/>
  <c r="AS17" i="22"/>
  <c r="AR17" i="22"/>
  <c r="AQ17" i="22"/>
  <c r="AP17" i="22"/>
  <c r="AO17" i="22"/>
  <c r="AN17" i="22"/>
  <c r="AM17" i="22"/>
  <c r="AL17" i="22"/>
  <c r="AK17" i="22"/>
  <c r="AJ17" i="22"/>
  <c r="AI17" i="22"/>
  <c r="AH17" i="22"/>
  <c r="AG17" i="22"/>
  <c r="AF17" i="22"/>
  <c r="AE17" i="22"/>
  <c r="AD17" i="22"/>
  <c r="AB17" i="22"/>
  <c r="AA17" i="22"/>
  <c r="BI16" i="22"/>
  <c r="BH16" i="22"/>
  <c r="BG16" i="22"/>
  <c r="BF16" i="22"/>
  <c r="BE16" i="22"/>
  <c r="BD16" i="22"/>
  <c r="BC16" i="22"/>
  <c r="BB16" i="22"/>
  <c r="BA16" i="22"/>
  <c r="AZ16" i="22"/>
  <c r="AY16" i="22"/>
  <c r="AX16" i="22"/>
  <c r="AW16" i="22"/>
  <c r="AV16" i="22"/>
  <c r="AT16" i="22"/>
  <c r="AS16" i="22"/>
  <c r="AR16" i="22"/>
  <c r="AQ16" i="22"/>
  <c r="AP16" i="22"/>
  <c r="AO16" i="22"/>
  <c r="AN16" i="22"/>
  <c r="AM16" i="22"/>
  <c r="AL16" i="22"/>
  <c r="AK16" i="22"/>
  <c r="AJ16" i="22"/>
  <c r="AI16" i="22"/>
  <c r="AH16" i="22"/>
  <c r="AG16" i="22"/>
  <c r="AF16" i="22"/>
  <c r="AE16" i="22"/>
  <c r="AD16" i="22"/>
  <c r="AB16" i="22"/>
  <c r="AA16" i="22"/>
  <c r="BI15" i="22"/>
  <c r="BH15" i="22"/>
  <c r="BG15" i="22"/>
  <c r="BF15" i="22"/>
  <c r="BE15" i="22"/>
  <c r="BD15" i="22"/>
  <c r="BC15" i="22"/>
  <c r="BB15" i="22"/>
  <c r="BA15" i="22"/>
  <c r="AZ15" i="22"/>
  <c r="AY15" i="22"/>
  <c r="AX15" i="22"/>
  <c r="AW15" i="22"/>
  <c r="AV15" i="22"/>
  <c r="AT15" i="22"/>
  <c r="AS15" i="22"/>
  <c r="AR15" i="22"/>
  <c r="AQ15" i="22"/>
  <c r="AP15" i="22"/>
  <c r="AO15" i="22"/>
  <c r="AN15" i="22"/>
  <c r="AM15" i="22"/>
  <c r="AL15" i="22"/>
  <c r="AK15" i="22"/>
  <c r="AJ15" i="22"/>
  <c r="AI15" i="22"/>
  <c r="AH15" i="22"/>
  <c r="AG15" i="22"/>
  <c r="AF15" i="22"/>
  <c r="AE15" i="22"/>
  <c r="AD15" i="22"/>
  <c r="AB15" i="22"/>
  <c r="AA15" i="22"/>
  <c r="BI14" i="22"/>
  <c r="BH14" i="22"/>
  <c r="BG14" i="22"/>
  <c r="BF14" i="22"/>
  <c r="BE14" i="22"/>
  <c r="BD14" i="22"/>
  <c r="BC14" i="22"/>
  <c r="BB14" i="22"/>
  <c r="BA14" i="22"/>
  <c r="AZ14" i="22"/>
  <c r="AY14" i="22"/>
  <c r="AX14" i="22"/>
  <c r="AW14" i="22"/>
  <c r="AV14" i="22"/>
  <c r="AT14" i="22"/>
  <c r="AS14" i="22"/>
  <c r="AR14" i="22"/>
  <c r="AQ14" i="22"/>
  <c r="AP14" i="22"/>
  <c r="AO14" i="22"/>
  <c r="AN14" i="22"/>
  <c r="AM14" i="22"/>
  <c r="AL14" i="22"/>
  <c r="AK14" i="22"/>
  <c r="AJ14" i="22"/>
  <c r="AI14" i="22"/>
  <c r="AH14" i="22"/>
  <c r="AG14" i="22"/>
  <c r="AF14" i="22"/>
  <c r="AE14" i="22"/>
  <c r="AD14" i="22"/>
  <c r="AB14" i="22"/>
  <c r="AA14" i="22"/>
  <c r="BI13" i="22"/>
  <c r="BH13" i="22"/>
  <c r="BG13" i="22"/>
  <c r="BF13" i="22"/>
  <c r="BE13" i="22"/>
  <c r="BD13" i="22"/>
  <c r="BC13" i="22"/>
  <c r="BB13" i="22"/>
  <c r="BA13" i="22"/>
  <c r="AZ13" i="22"/>
  <c r="AY13" i="22"/>
  <c r="AX13" i="22"/>
  <c r="AW13" i="22"/>
  <c r="AV13" i="22"/>
  <c r="AT13" i="22"/>
  <c r="AS13" i="22"/>
  <c r="AR13" i="22"/>
  <c r="AQ13" i="22"/>
  <c r="AP13" i="22"/>
  <c r="AO13" i="22"/>
  <c r="AN13" i="22"/>
  <c r="AM13" i="22"/>
  <c r="AL13" i="22"/>
  <c r="AK13" i="22"/>
  <c r="AJ13" i="22"/>
  <c r="AI13" i="22"/>
  <c r="AH13" i="22"/>
  <c r="AG13" i="22"/>
  <c r="AF13" i="22"/>
  <c r="AE13" i="22"/>
  <c r="AD13" i="22"/>
  <c r="AB13" i="22"/>
  <c r="AA13" i="22"/>
  <c r="BI12" i="22"/>
  <c r="BH12" i="22"/>
  <c r="BG12" i="22"/>
  <c r="BF12" i="22"/>
  <c r="BE12" i="22"/>
  <c r="BD12" i="22"/>
  <c r="BC12" i="22"/>
  <c r="BB12" i="22"/>
  <c r="BA12" i="22"/>
  <c r="AZ12" i="22"/>
  <c r="AY12" i="22"/>
  <c r="AX12" i="22"/>
  <c r="AW12" i="22"/>
  <c r="AV12" i="22"/>
  <c r="AT12" i="22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F12" i="22"/>
  <c r="AE12" i="22"/>
  <c r="AD12" i="22"/>
  <c r="AB12" i="22"/>
  <c r="AA12" i="22"/>
  <c r="BI11" i="22"/>
  <c r="BH11" i="22"/>
  <c r="BG11" i="22"/>
  <c r="BF11" i="22"/>
  <c r="BE11" i="22"/>
  <c r="BD11" i="22"/>
  <c r="BC11" i="22"/>
  <c r="BB11" i="22"/>
  <c r="BA11" i="22"/>
  <c r="AZ11" i="22"/>
  <c r="AY11" i="22"/>
  <c r="AX11" i="22"/>
  <c r="AW11" i="22"/>
  <c r="AV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B11" i="22"/>
  <c r="AA11" i="22"/>
  <c r="BI10" i="22"/>
  <c r="BH10" i="22"/>
  <c r="BG10" i="22"/>
  <c r="BF10" i="22"/>
  <c r="BE10" i="22"/>
  <c r="BD10" i="22"/>
  <c r="BC10" i="22"/>
  <c r="BB10" i="22"/>
  <c r="BA10" i="22"/>
  <c r="AZ10" i="22"/>
  <c r="AY10" i="22"/>
  <c r="AX10" i="22"/>
  <c r="AW10" i="22"/>
  <c r="AV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B10" i="22"/>
  <c r="AA10" i="22"/>
  <c r="BI9" i="22"/>
  <c r="BH9" i="22"/>
  <c r="BG9" i="22"/>
  <c r="BF9" i="22"/>
  <c r="BE9" i="22"/>
  <c r="BD9" i="22"/>
  <c r="BC9" i="22"/>
  <c r="BB9" i="22"/>
  <c r="BA9" i="22"/>
  <c r="AZ9" i="22"/>
  <c r="AY9" i="22"/>
  <c r="AX9" i="22"/>
  <c r="AW9" i="22"/>
  <c r="AV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B9" i="22"/>
  <c r="AA9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B8" i="22"/>
  <c r="AA8" i="22"/>
  <c r="BI7" i="22"/>
  <c r="BH7" i="22"/>
  <c r="BG7" i="22"/>
  <c r="BF7" i="22"/>
  <c r="BE7" i="22"/>
  <c r="BD7" i="22"/>
  <c r="BC7" i="22"/>
  <c r="BB7" i="22"/>
  <c r="BA7" i="22"/>
  <c r="AZ7" i="22"/>
  <c r="AY7" i="22"/>
  <c r="AX7" i="22"/>
  <c r="AW7" i="22"/>
  <c r="AV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B7" i="22"/>
  <c r="AA7" i="22"/>
  <c r="BI6" i="22"/>
  <c r="BH6" i="22"/>
  <c r="BG6" i="22"/>
  <c r="BF6" i="22"/>
  <c r="BE6" i="22"/>
  <c r="BD6" i="22"/>
  <c r="BC6" i="22"/>
  <c r="BB6" i="22"/>
  <c r="BA6" i="22"/>
  <c r="AZ6" i="22"/>
  <c r="AY6" i="22"/>
  <c r="AX6" i="22"/>
  <c r="AW6" i="22"/>
  <c r="AV6" i="22"/>
  <c r="AT6" i="22"/>
  <c r="AS6" i="22"/>
  <c r="AR6" i="22"/>
  <c r="AQ6" i="22"/>
  <c r="AP6" i="22"/>
  <c r="AO6" i="22"/>
  <c r="AN6" i="22"/>
  <c r="AM6" i="22"/>
  <c r="AL6" i="22"/>
  <c r="AK6" i="22"/>
  <c r="AJ6" i="22"/>
  <c r="AI6" i="22"/>
  <c r="AH6" i="22"/>
  <c r="AG6" i="22"/>
  <c r="AF6" i="22"/>
  <c r="AE6" i="22"/>
  <c r="AD6" i="22"/>
  <c r="AB6" i="22"/>
  <c r="AA6" i="22"/>
  <c r="BI5" i="22"/>
  <c r="BH5" i="22"/>
  <c r="BG5" i="22"/>
  <c r="BF5" i="22"/>
  <c r="BE5" i="22"/>
  <c r="BD5" i="22"/>
  <c r="BC5" i="22"/>
  <c r="BB5" i="22"/>
  <c r="BA5" i="22"/>
  <c r="AZ5" i="22"/>
  <c r="AY5" i="22"/>
  <c r="AX5" i="22"/>
  <c r="AW5" i="22"/>
  <c r="AV5" i="22"/>
  <c r="AT5" i="22"/>
  <c r="AS5" i="22"/>
  <c r="AR5" i="22"/>
  <c r="AQ5" i="22"/>
  <c r="AP5" i="22"/>
  <c r="AO5" i="22"/>
  <c r="AN5" i="22"/>
  <c r="AM5" i="22"/>
  <c r="AL5" i="22"/>
  <c r="AK5" i="22"/>
  <c r="AJ5" i="22"/>
  <c r="AI5" i="22"/>
  <c r="AH5" i="22"/>
  <c r="AG5" i="22"/>
  <c r="AF5" i="22"/>
  <c r="AE5" i="22"/>
  <c r="AD5" i="22"/>
  <c r="AB5" i="22"/>
  <c r="AA5" i="22"/>
  <c r="BI4" i="22"/>
  <c r="BH4" i="22"/>
  <c r="BG4" i="22"/>
  <c r="BF4" i="22"/>
  <c r="BE4" i="22"/>
  <c r="BD4" i="22"/>
  <c r="BC4" i="22"/>
  <c r="BB4" i="22"/>
  <c r="BA4" i="22"/>
  <c r="AZ4" i="22"/>
  <c r="AY4" i="22"/>
  <c r="AX4" i="22"/>
  <c r="AW4" i="22"/>
  <c r="AV4" i="22"/>
  <c r="AT4" i="22"/>
  <c r="AS4" i="22"/>
  <c r="AR4" i="22"/>
  <c r="AQ4" i="22"/>
  <c r="AP4" i="22"/>
  <c r="AO4" i="22"/>
  <c r="AN4" i="22"/>
  <c r="AM4" i="22"/>
  <c r="AL4" i="22"/>
  <c r="AK4" i="22"/>
  <c r="AJ4" i="22"/>
  <c r="AI4" i="22"/>
  <c r="AH4" i="22"/>
  <c r="AG4" i="22"/>
  <c r="AF4" i="22"/>
  <c r="AE4" i="22"/>
  <c r="AD4" i="22"/>
  <c r="AB4" i="22"/>
  <c r="AA4" i="22"/>
  <c r="BI3" i="22"/>
  <c r="BH3" i="22"/>
  <c r="BG3" i="22"/>
  <c r="BF3" i="22"/>
  <c r="BE3" i="22"/>
  <c r="BD3" i="22"/>
  <c r="BC3" i="22"/>
  <c r="BB3" i="22"/>
  <c r="BA3" i="22"/>
  <c r="AZ3" i="22"/>
  <c r="AY3" i="22"/>
  <c r="AX3" i="22"/>
  <c r="AW3" i="22"/>
  <c r="AV3" i="22"/>
  <c r="AT3" i="22"/>
  <c r="AS3" i="22"/>
  <c r="AR3" i="22"/>
  <c r="AQ3" i="22"/>
  <c r="AP3" i="22"/>
  <c r="AO3" i="22"/>
  <c r="AN3" i="22"/>
  <c r="AM3" i="22"/>
  <c r="AL3" i="22"/>
  <c r="AK3" i="22"/>
  <c r="AJ3" i="22"/>
  <c r="AI3" i="22"/>
  <c r="AH3" i="22"/>
  <c r="AG3" i="22"/>
  <c r="AF3" i="22"/>
  <c r="AE3" i="22"/>
  <c r="AD3" i="22"/>
  <c r="AB3" i="22"/>
  <c r="AA3" i="22"/>
  <c r="AT1" i="22"/>
  <c r="AS1" i="22"/>
  <c r="AR1" i="22"/>
  <c r="AQ1" i="22"/>
  <c r="AP1" i="22"/>
  <c r="AO1" i="22"/>
  <c r="AN1" i="22"/>
  <c r="AM1" i="22"/>
  <c r="AL1" i="22"/>
  <c r="AK1" i="22"/>
  <c r="AJ1" i="22"/>
  <c r="AI1" i="22"/>
  <c r="AH1" i="22"/>
  <c r="AG1" i="22"/>
  <c r="AF1" i="22"/>
  <c r="AE1" i="22"/>
  <c r="AD1" i="22"/>
  <c r="AA1" i="22"/>
  <c r="Z1" i="22"/>
  <c r="Y1" i="22"/>
  <c r="X1" i="22"/>
  <c r="W1" i="22"/>
  <c r="V1" i="22"/>
  <c r="U1" i="22"/>
  <c r="T1" i="22"/>
  <c r="S1" i="22"/>
  <c r="R1" i="22"/>
  <c r="Q1" i="22"/>
  <c r="P1" i="22"/>
  <c r="O1" i="22"/>
  <c r="T145" i="21"/>
  <c r="S145" i="21"/>
  <c r="R145" i="21"/>
  <c r="Q145" i="21"/>
  <c r="P145" i="21"/>
  <c r="O145" i="21"/>
  <c r="Z144" i="21"/>
  <c r="Y144" i="21"/>
  <c r="X144" i="21"/>
  <c r="W144" i="21"/>
  <c r="V144" i="21"/>
  <c r="U144" i="21"/>
  <c r="T144" i="21"/>
  <c r="S144" i="21"/>
  <c r="R144" i="21"/>
  <c r="Q144" i="21"/>
  <c r="P144" i="21"/>
  <c r="O144" i="21"/>
  <c r="W143" i="21"/>
  <c r="V143" i="21"/>
  <c r="U143" i="21"/>
  <c r="T143" i="21"/>
  <c r="S143" i="21"/>
  <c r="R143" i="21"/>
  <c r="Q143" i="21"/>
  <c r="P143" i="21"/>
  <c r="O143" i="21"/>
  <c r="Z142" i="21"/>
  <c r="Y142" i="21"/>
  <c r="X142" i="21"/>
  <c r="W142" i="21"/>
  <c r="V142" i="21"/>
  <c r="R140" i="21"/>
  <c r="Q140" i="21"/>
  <c r="P140" i="21"/>
  <c r="O140" i="21"/>
  <c r="R137" i="21"/>
  <c r="Q137" i="21"/>
  <c r="P137" i="21"/>
  <c r="O137" i="21"/>
  <c r="R136" i="21"/>
  <c r="Q136" i="21"/>
  <c r="P136" i="21"/>
  <c r="O136" i="21"/>
  <c r="R135" i="21"/>
  <c r="Q135" i="21"/>
  <c r="P135" i="21"/>
  <c r="O135" i="21"/>
  <c r="R134" i="21"/>
  <c r="Q134" i="21"/>
  <c r="P134" i="21"/>
  <c r="O134" i="21"/>
  <c r="R133" i="21"/>
  <c r="Q133" i="21"/>
  <c r="P133" i="21"/>
  <c r="O133" i="21"/>
  <c r="R132" i="21"/>
  <c r="Q132" i="21"/>
  <c r="P132" i="21"/>
  <c r="O132" i="21"/>
  <c r="R131" i="21"/>
  <c r="Q131" i="21"/>
  <c r="P131" i="21"/>
  <c r="O131" i="21"/>
  <c r="R130" i="21"/>
  <c r="Q130" i="21"/>
  <c r="P130" i="21"/>
  <c r="O130" i="21"/>
  <c r="AR129" i="21"/>
  <c r="AQ129" i="21"/>
  <c r="AP129" i="21"/>
  <c r="AO129" i="21"/>
  <c r="AN129" i="21"/>
  <c r="AM129" i="21"/>
  <c r="AL129" i="21"/>
  <c r="AK129" i="21"/>
  <c r="AJ129" i="21"/>
  <c r="AI129" i="21"/>
  <c r="AH129" i="21"/>
  <c r="AG129" i="21"/>
  <c r="AF129" i="21"/>
  <c r="AE129" i="21"/>
  <c r="R129" i="21"/>
  <c r="Q129" i="21"/>
  <c r="P129" i="21"/>
  <c r="O129" i="21"/>
  <c r="AR128" i="21"/>
  <c r="AQ128" i="21"/>
  <c r="AP128" i="21"/>
  <c r="AO128" i="21"/>
  <c r="AN128" i="21"/>
  <c r="AM128" i="21"/>
  <c r="AL128" i="21"/>
  <c r="AK128" i="21"/>
  <c r="AJ128" i="21"/>
  <c r="AI128" i="21"/>
  <c r="AH128" i="21"/>
  <c r="AG128" i="21"/>
  <c r="AF128" i="21"/>
  <c r="AE128" i="21"/>
  <c r="Y128" i="21"/>
  <c r="X128" i="21"/>
  <c r="W128" i="21"/>
  <c r="V128" i="21"/>
  <c r="U128" i="21"/>
  <c r="T128" i="21"/>
  <c r="S128" i="21"/>
  <c r="R128" i="21"/>
  <c r="Q128" i="21"/>
  <c r="P128" i="21"/>
  <c r="O128" i="21"/>
  <c r="AR127" i="21"/>
  <c r="AQ127" i="21"/>
  <c r="AP127" i="21"/>
  <c r="AO127" i="21"/>
  <c r="AN127" i="21"/>
  <c r="AM127" i="21"/>
  <c r="AL127" i="21"/>
  <c r="AK127" i="21"/>
  <c r="AJ127" i="21"/>
  <c r="AI127" i="21"/>
  <c r="AH127" i="21"/>
  <c r="AG127" i="21"/>
  <c r="AF127" i="21"/>
  <c r="AE127" i="21"/>
  <c r="AA127" i="21"/>
  <c r="AR126" i="21"/>
  <c r="AQ126" i="21"/>
  <c r="AP126" i="21"/>
  <c r="AO126" i="21"/>
  <c r="AN126" i="21"/>
  <c r="AM126" i="21"/>
  <c r="AL126" i="21"/>
  <c r="AK126" i="21"/>
  <c r="AJ126" i="21"/>
  <c r="AI126" i="21"/>
  <c r="AH126" i="21"/>
  <c r="AG126" i="21"/>
  <c r="AF126" i="21"/>
  <c r="AE126" i="21"/>
  <c r="AA126" i="21"/>
  <c r="AR125" i="21"/>
  <c r="AQ125" i="21"/>
  <c r="AP125" i="21"/>
  <c r="AO125" i="21"/>
  <c r="AN125" i="21"/>
  <c r="AM125" i="21"/>
  <c r="AL125" i="21"/>
  <c r="AK125" i="21"/>
  <c r="AJ125" i="21"/>
  <c r="AI125" i="21"/>
  <c r="AH125" i="21"/>
  <c r="AG125" i="21"/>
  <c r="AF125" i="21"/>
  <c r="AE125" i="21"/>
  <c r="AA125" i="21"/>
  <c r="AR124" i="21"/>
  <c r="AQ124" i="21"/>
  <c r="AP124" i="21"/>
  <c r="AO124" i="21"/>
  <c r="AN124" i="21"/>
  <c r="AM124" i="21"/>
  <c r="AL124" i="21"/>
  <c r="AK124" i="21"/>
  <c r="AJ124" i="21"/>
  <c r="AI124" i="21"/>
  <c r="AH124" i="21"/>
  <c r="AG124" i="21"/>
  <c r="AF124" i="21"/>
  <c r="AE124" i="21"/>
  <c r="AA124" i="21"/>
  <c r="AR123" i="21"/>
  <c r="AQ123" i="21"/>
  <c r="AP123" i="21"/>
  <c r="AO123" i="21"/>
  <c r="AN123" i="21"/>
  <c r="AM123" i="21"/>
  <c r="AL123" i="21"/>
  <c r="AK123" i="21"/>
  <c r="AJ123" i="21"/>
  <c r="AI123" i="21"/>
  <c r="AH123" i="21"/>
  <c r="AG123" i="21"/>
  <c r="AF123" i="21"/>
  <c r="AE123" i="21"/>
  <c r="AA123" i="21"/>
  <c r="AR122" i="21"/>
  <c r="AQ122" i="21"/>
  <c r="AP122" i="21"/>
  <c r="AO122" i="21"/>
  <c r="AN122" i="21"/>
  <c r="AM122" i="21"/>
  <c r="AL122" i="21"/>
  <c r="AK122" i="21"/>
  <c r="AJ122" i="21"/>
  <c r="AI122" i="21"/>
  <c r="AH122" i="21"/>
  <c r="AG122" i="21"/>
  <c r="AF122" i="21"/>
  <c r="AE122" i="21"/>
  <c r="AA122" i="21"/>
  <c r="AR121" i="21"/>
  <c r="AQ121" i="21"/>
  <c r="AP121" i="21"/>
  <c r="AO121" i="21"/>
  <c r="AN121" i="21"/>
  <c r="AM121" i="21"/>
  <c r="AL121" i="21"/>
  <c r="AK121" i="21"/>
  <c r="AJ121" i="21"/>
  <c r="AI121" i="21"/>
  <c r="AH121" i="21"/>
  <c r="AG121" i="21"/>
  <c r="AF121" i="21"/>
  <c r="AE121" i="21"/>
  <c r="AA121" i="21"/>
  <c r="AR120" i="21"/>
  <c r="AQ120" i="21"/>
  <c r="AP120" i="21"/>
  <c r="AO120" i="21"/>
  <c r="AN120" i="21"/>
  <c r="AM120" i="21"/>
  <c r="AL120" i="21"/>
  <c r="AK120" i="21"/>
  <c r="AJ120" i="21"/>
  <c r="AI120" i="21"/>
  <c r="AH120" i="21"/>
  <c r="AG120" i="21"/>
  <c r="AF120" i="21"/>
  <c r="AE120" i="21"/>
  <c r="AA120" i="21"/>
  <c r="AR119" i="21"/>
  <c r="AQ119" i="21"/>
  <c r="AP119" i="21"/>
  <c r="AO119" i="21"/>
  <c r="AN119" i="21"/>
  <c r="AM119" i="21"/>
  <c r="AL119" i="21"/>
  <c r="AK119" i="21"/>
  <c r="AJ119" i="21"/>
  <c r="AI119" i="21"/>
  <c r="AH119" i="21"/>
  <c r="AG119" i="21"/>
  <c r="AF119" i="21"/>
  <c r="AE119" i="21"/>
  <c r="AA119" i="21"/>
  <c r="AR118" i="21"/>
  <c r="AQ118" i="21"/>
  <c r="AP118" i="21"/>
  <c r="AO118" i="21"/>
  <c r="AN118" i="21"/>
  <c r="AM118" i="21"/>
  <c r="AL118" i="21"/>
  <c r="AK118" i="21"/>
  <c r="AJ118" i="21"/>
  <c r="AI118" i="21"/>
  <c r="AH118" i="21"/>
  <c r="AG118" i="21"/>
  <c r="AF118" i="21"/>
  <c r="AE118" i="21"/>
  <c r="AA118" i="21"/>
  <c r="AR117" i="21"/>
  <c r="AQ117" i="21"/>
  <c r="AP117" i="21"/>
  <c r="AO117" i="21"/>
  <c r="AN117" i="21"/>
  <c r="AM117" i="21"/>
  <c r="AL117" i="21"/>
  <c r="AK117" i="21"/>
  <c r="AJ117" i="21"/>
  <c r="AI117" i="21"/>
  <c r="AH117" i="21"/>
  <c r="AG117" i="21"/>
  <c r="AF117" i="21"/>
  <c r="AE117" i="21"/>
  <c r="AA117" i="21"/>
  <c r="AR116" i="21"/>
  <c r="AQ116" i="21"/>
  <c r="AP116" i="21"/>
  <c r="AO116" i="21"/>
  <c r="AN116" i="21"/>
  <c r="AM116" i="21"/>
  <c r="AL116" i="21"/>
  <c r="AK116" i="21"/>
  <c r="AJ116" i="21"/>
  <c r="AI116" i="21"/>
  <c r="AH116" i="21"/>
  <c r="AG116" i="21"/>
  <c r="AF116" i="21"/>
  <c r="AE116" i="21"/>
  <c r="AA116" i="21"/>
  <c r="AR115" i="21"/>
  <c r="AQ115" i="21"/>
  <c r="AP115" i="21"/>
  <c r="AO115" i="21"/>
  <c r="AN115" i="21"/>
  <c r="AM115" i="21"/>
  <c r="AL115" i="21"/>
  <c r="AK115" i="21"/>
  <c r="AJ115" i="21"/>
  <c r="AI115" i="21"/>
  <c r="AH115" i="21"/>
  <c r="AG115" i="21"/>
  <c r="AF115" i="21"/>
  <c r="AE115" i="21"/>
  <c r="AA115" i="21"/>
  <c r="AR114" i="21"/>
  <c r="AQ114" i="21"/>
  <c r="AP114" i="21"/>
  <c r="AO114" i="21"/>
  <c r="AN114" i="21"/>
  <c r="AM114" i="21"/>
  <c r="AL114" i="21"/>
  <c r="AK114" i="21"/>
  <c r="AJ114" i="21"/>
  <c r="AI114" i="21"/>
  <c r="AH114" i="21"/>
  <c r="AG114" i="21"/>
  <c r="AF114" i="21"/>
  <c r="AE114" i="21"/>
  <c r="AA114" i="21"/>
  <c r="AR113" i="21"/>
  <c r="AQ113" i="21"/>
  <c r="AP113" i="21"/>
  <c r="AO113" i="21"/>
  <c r="AN113" i="21"/>
  <c r="AM113" i="21"/>
  <c r="AL113" i="21"/>
  <c r="AK113" i="21"/>
  <c r="AJ113" i="21"/>
  <c r="AI113" i="21"/>
  <c r="AH113" i="21"/>
  <c r="AG113" i="21"/>
  <c r="AF113" i="21"/>
  <c r="AE113" i="21"/>
  <c r="AA113" i="21"/>
  <c r="AR112" i="21"/>
  <c r="AQ112" i="21"/>
  <c r="AP112" i="21"/>
  <c r="AO112" i="21"/>
  <c r="AN112" i="21"/>
  <c r="AM112" i="21"/>
  <c r="AL112" i="21"/>
  <c r="AK112" i="21"/>
  <c r="AJ112" i="21"/>
  <c r="AI112" i="21"/>
  <c r="AH112" i="21"/>
  <c r="AG112" i="21"/>
  <c r="AF112" i="21"/>
  <c r="AE112" i="21"/>
  <c r="AA112" i="21"/>
  <c r="AR111" i="21"/>
  <c r="AQ111" i="21"/>
  <c r="AP111" i="21"/>
  <c r="AO111" i="21"/>
  <c r="AN111" i="21"/>
  <c r="AM111" i="21"/>
  <c r="AL111" i="21"/>
  <c r="AK111" i="21"/>
  <c r="AJ111" i="21"/>
  <c r="AI111" i="21"/>
  <c r="AH111" i="21"/>
  <c r="AG111" i="21"/>
  <c r="AF111" i="21"/>
  <c r="AE111" i="21"/>
  <c r="AA111" i="21"/>
  <c r="AR110" i="21"/>
  <c r="AQ110" i="21"/>
  <c r="AP110" i="21"/>
  <c r="AO110" i="21"/>
  <c r="AN110" i="21"/>
  <c r="AM110" i="21"/>
  <c r="AL110" i="21"/>
  <c r="AK110" i="21"/>
  <c r="AJ110" i="21"/>
  <c r="AI110" i="21"/>
  <c r="AH110" i="21"/>
  <c r="AG110" i="21"/>
  <c r="AF110" i="21"/>
  <c r="AE110" i="21"/>
  <c r="AA110" i="21"/>
  <c r="AR109" i="21"/>
  <c r="AQ109" i="21"/>
  <c r="AP109" i="21"/>
  <c r="AO109" i="21"/>
  <c r="AN109" i="21"/>
  <c r="AM109" i="21"/>
  <c r="AL109" i="21"/>
  <c r="AK109" i="21"/>
  <c r="AJ109" i="21"/>
  <c r="AI109" i="21"/>
  <c r="AH109" i="21"/>
  <c r="AG109" i="21"/>
  <c r="AF109" i="21"/>
  <c r="AE109" i="21"/>
  <c r="AA109" i="21"/>
  <c r="AR108" i="21"/>
  <c r="AQ108" i="21"/>
  <c r="AP108" i="21"/>
  <c r="AO108" i="21"/>
  <c r="AN108" i="21"/>
  <c r="AM108" i="21"/>
  <c r="AL108" i="21"/>
  <c r="AK108" i="21"/>
  <c r="AJ108" i="21"/>
  <c r="AI108" i="21"/>
  <c r="AH108" i="21"/>
  <c r="AG108" i="21"/>
  <c r="AF108" i="21"/>
  <c r="AE108" i="21"/>
  <c r="AA108" i="21"/>
  <c r="AR107" i="21"/>
  <c r="AQ107" i="21"/>
  <c r="AP107" i="21"/>
  <c r="AO107" i="21"/>
  <c r="AN107" i="21"/>
  <c r="AM107" i="21"/>
  <c r="AL107" i="21"/>
  <c r="AK107" i="21"/>
  <c r="AJ107" i="21"/>
  <c r="AI107" i="21"/>
  <c r="AH107" i="21"/>
  <c r="AG107" i="21"/>
  <c r="AF107" i="21"/>
  <c r="AE107" i="21"/>
  <c r="AA107" i="21"/>
  <c r="AR106" i="21"/>
  <c r="AQ106" i="21"/>
  <c r="AP106" i="21"/>
  <c r="AO106" i="21"/>
  <c r="AN106" i="21"/>
  <c r="AM106" i="21"/>
  <c r="AL106" i="21"/>
  <c r="AK106" i="21"/>
  <c r="AJ106" i="21"/>
  <c r="AI106" i="21"/>
  <c r="AH106" i="21"/>
  <c r="AG106" i="21"/>
  <c r="AF106" i="21"/>
  <c r="AE106" i="21"/>
  <c r="AA106" i="21"/>
  <c r="AR105" i="21"/>
  <c r="AQ105" i="21"/>
  <c r="AP105" i="21"/>
  <c r="AO105" i="21"/>
  <c r="AN105" i="21"/>
  <c r="AM105" i="21"/>
  <c r="AL105" i="21"/>
  <c r="AK105" i="21"/>
  <c r="AJ105" i="21"/>
  <c r="AI105" i="21"/>
  <c r="AH105" i="21"/>
  <c r="AG105" i="21"/>
  <c r="AF105" i="21"/>
  <c r="AE105" i="21"/>
  <c r="AA105" i="21"/>
  <c r="AR104" i="21"/>
  <c r="AQ104" i="21"/>
  <c r="AP104" i="21"/>
  <c r="AO104" i="21"/>
  <c r="AN104" i="21"/>
  <c r="AM104" i="21"/>
  <c r="AL104" i="21"/>
  <c r="AK104" i="21"/>
  <c r="AJ104" i="21"/>
  <c r="AI104" i="21"/>
  <c r="AH104" i="21"/>
  <c r="AG104" i="21"/>
  <c r="AF104" i="21"/>
  <c r="AE104" i="21"/>
  <c r="AA104" i="21"/>
  <c r="AR103" i="21"/>
  <c r="AQ103" i="21"/>
  <c r="AP103" i="21"/>
  <c r="AO103" i="21"/>
  <c r="AN103" i="21"/>
  <c r="AM103" i="21"/>
  <c r="AL103" i="21"/>
  <c r="AK103" i="21"/>
  <c r="AJ103" i="21"/>
  <c r="AI103" i="21"/>
  <c r="AH103" i="21"/>
  <c r="AG103" i="21"/>
  <c r="AF103" i="21"/>
  <c r="AE103" i="21"/>
  <c r="AA103" i="21"/>
  <c r="AR102" i="21"/>
  <c r="AQ102" i="21"/>
  <c r="AP102" i="21"/>
  <c r="AO102" i="21"/>
  <c r="AN102" i="21"/>
  <c r="AM102" i="21"/>
  <c r="AL102" i="21"/>
  <c r="AK102" i="21"/>
  <c r="AJ102" i="21"/>
  <c r="AI102" i="21"/>
  <c r="AH102" i="21"/>
  <c r="AG102" i="21"/>
  <c r="AF102" i="21"/>
  <c r="AE102" i="21"/>
  <c r="AA102" i="21"/>
  <c r="AR101" i="21"/>
  <c r="AQ101" i="21"/>
  <c r="AP101" i="21"/>
  <c r="AO101" i="21"/>
  <c r="AN101" i="21"/>
  <c r="AM101" i="21"/>
  <c r="AL101" i="21"/>
  <c r="AK101" i="21"/>
  <c r="AJ101" i="21"/>
  <c r="AI101" i="21"/>
  <c r="AH101" i="21"/>
  <c r="AG101" i="21"/>
  <c r="AF101" i="21"/>
  <c r="AE101" i="21"/>
  <c r="AA101" i="21"/>
  <c r="AR100" i="21"/>
  <c r="AQ100" i="21"/>
  <c r="AP100" i="21"/>
  <c r="AO100" i="21"/>
  <c r="AN100" i="21"/>
  <c r="AM100" i="21"/>
  <c r="AL100" i="21"/>
  <c r="AK100" i="21"/>
  <c r="AJ100" i="21"/>
  <c r="AI100" i="21"/>
  <c r="AH100" i="21"/>
  <c r="AG100" i="21"/>
  <c r="AF100" i="21"/>
  <c r="AE100" i="21"/>
  <c r="AA100" i="21"/>
  <c r="AR99" i="21"/>
  <c r="AQ99" i="21"/>
  <c r="AP99" i="21"/>
  <c r="AO99" i="21"/>
  <c r="AN99" i="21"/>
  <c r="AM99" i="21"/>
  <c r="AL99" i="21"/>
  <c r="AK99" i="21"/>
  <c r="AJ99" i="21"/>
  <c r="AI99" i="21"/>
  <c r="AH99" i="21"/>
  <c r="AG99" i="21"/>
  <c r="AF99" i="21"/>
  <c r="AE99" i="21"/>
  <c r="AA99" i="21"/>
  <c r="AR98" i="21"/>
  <c r="AQ98" i="21"/>
  <c r="AP98" i="21"/>
  <c r="AO98" i="21"/>
  <c r="AN98" i="21"/>
  <c r="AM98" i="21"/>
  <c r="AL98" i="21"/>
  <c r="AK98" i="21"/>
  <c r="AJ98" i="21"/>
  <c r="AI98" i="21"/>
  <c r="AH98" i="21"/>
  <c r="AG98" i="21"/>
  <c r="AF98" i="21"/>
  <c r="AE98" i="21"/>
  <c r="AA98" i="21"/>
  <c r="AR97" i="21"/>
  <c r="AQ97" i="21"/>
  <c r="AP97" i="21"/>
  <c r="AO97" i="21"/>
  <c r="AN97" i="21"/>
  <c r="AM97" i="21"/>
  <c r="AL97" i="21"/>
  <c r="AK97" i="21"/>
  <c r="AJ97" i="21"/>
  <c r="AI97" i="21"/>
  <c r="AH97" i="21"/>
  <c r="AG97" i="21"/>
  <c r="AF97" i="21"/>
  <c r="AE97" i="21"/>
  <c r="AA97" i="21"/>
  <c r="AR96" i="21"/>
  <c r="AQ96" i="21"/>
  <c r="AP96" i="21"/>
  <c r="AO96" i="21"/>
  <c r="AN96" i="21"/>
  <c r="AM96" i="21"/>
  <c r="AL96" i="21"/>
  <c r="AK96" i="21"/>
  <c r="AJ96" i="21"/>
  <c r="AI96" i="21"/>
  <c r="AH96" i="21"/>
  <c r="AG96" i="21"/>
  <c r="AF96" i="21"/>
  <c r="AE96" i="21"/>
  <c r="AA96" i="21"/>
  <c r="AR95" i="21"/>
  <c r="AQ95" i="21"/>
  <c r="AP95" i="21"/>
  <c r="AO95" i="21"/>
  <c r="AN95" i="21"/>
  <c r="AM95" i="21"/>
  <c r="AL95" i="21"/>
  <c r="AK95" i="21"/>
  <c r="AJ95" i="21"/>
  <c r="AI95" i="21"/>
  <c r="AH95" i="21"/>
  <c r="AG95" i="21"/>
  <c r="AF95" i="21"/>
  <c r="AE95" i="21"/>
  <c r="AA95" i="21"/>
  <c r="AR94" i="21"/>
  <c r="AQ94" i="21"/>
  <c r="AP94" i="21"/>
  <c r="AO94" i="21"/>
  <c r="AN94" i="21"/>
  <c r="AM94" i="21"/>
  <c r="AL94" i="21"/>
  <c r="AK94" i="21"/>
  <c r="AJ94" i="21"/>
  <c r="AI94" i="21"/>
  <c r="AH94" i="21"/>
  <c r="AG94" i="21"/>
  <c r="AF94" i="21"/>
  <c r="AE94" i="21"/>
  <c r="AA94" i="21"/>
  <c r="AR93" i="21"/>
  <c r="AQ93" i="21"/>
  <c r="AP93" i="21"/>
  <c r="AO93" i="21"/>
  <c r="AN93" i="21"/>
  <c r="AM93" i="21"/>
  <c r="AL93" i="21"/>
  <c r="AK93" i="21"/>
  <c r="AJ93" i="21"/>
  <c r="AI93" i="21"/>
  <c r="AH93" i="21"/>
  <c r="AG93" i="21"/>
  <c r="AF93" i="21"/>
  <c r="AE93" i="21"/>
  <c r="AA93" i="21"/>
  <c r="AR92" i="21"/>
  <c r="AQ92" i="21"/>
  <c r="AP92" i="21"/>
  <c r="AO92" i="21"/>
  <c r="AN92" i="21"/>
  <c r="AM92" i="21"/>
  <c r="AL92" i="21"/>
  <c r="AK92" i="21"/>
  <c r="AJ92" i="21"/>
  <c r="AI92" i="21"/>
  <c r="AH92" i="21"/>
  <c r="AG92" i="21"/>
  <c r="AF92" i="21"/>
  <c r="AE92" i="21"/>
  <c r="AA92" i="21"/>
  <c r="AR91" i="21"/>
  <c r="AQ91" i="21"/>
  <c r="AP91" i="21"/>
  <c r="AO91" i="21"/>
  <c r="AN91" i="21"/>
  <c r="AM91" i="21"/>
  <c r="AL91" i="21"/>
  <c r="AK91" i="21"/>
  <c r="AJ91" i="21"/>
  <c r="AI91" i="21"/>
  <c r="AH91" i="21"/>
  <c r="AG91" i="21"/>
  <c r="AF91" i="21"/>
  <c r="AE91" i="21"/>
  <c r="AA91" i="21"/>
  <c r="AR90" i="21"/>
  <c r="AQ90" i="21"/>
  <c r="AP90" i="21"/>
  <c r="AO90" i="21"/>
  <c r="AN90" i="21"/>
  <c r="AM90" i="21"/>
  <c r="AL90" i="21"/>
  <c r="AK90" i="21"/>
  <c r="AJ90" i="21"/>
  <c r="AI90" i="21"/>
  <c r="AH90" i="21"/>
  <c r="AG90" i="21"/>
  <c r="AF90" i="21"/>
  <c r="AE90" i="21"/>
  <c r="AA90" i="21"/>
  <c r="AR89" i="21"/>
  <c r="AQ89" i="21"/>
  <c r="AP89" i="21"/>
  <c r="AO89" i="21"/>
  <c r="AN89" i="21"/>
  <c r="AM89" i="21"/>
  <c r="AL89" i="21"/>
  <c r="AK89" i="21"/>
  <c r="AJ89" i="21"/>
  <c r="AI89" i="21"/>
  <c r="AH89" i="21"/>
  <c r="AG89" i="21"/>
  <c r="AF89" i="21"/>
  <c r="AE89" i="21"/>
  <c r="AA89" i="21"/>
  <c r="AR88" i="21"/>
  <c r="AQ88" i="21"/>
  <c r="AP88" i="21"/>
  <c r="AO88" i="21"/>
  <c r="AN88" i="21"/>
  <c r="AM88" i="21"/>
  <c r="AL88" i="21"/>
  <c r="AK88" i="21"/>
  <c r="AJ88" i="21"/>
  <c r="AI88" i="21"/>
  <c r="AH88" i="21"/>
  <c r="AG88" i="21"/>
  <c r="AF88" i="21"/>
  <c r="AE88" i="21"/>
  <c r="AA88" i="21"/>
  <c r="AR87" i="21"/>
  <c r="AQ87" i="21"/>
  <c r="AP87" i="21"/>
  <c r="AO87" i="21"/>
  <c r="AN87" i="21"/>
  <c r="AM87" i="21"/>
  <c r="AL87" i="21"/>
  <c r="AK87" i="21"/>
  <c r="AJ87" i="21"/>
  <c r="AI87" i="21"/>
  <c r="AH87" i="21"/>
  <c r="AG87" i="21"/>
  <c r="AF87" i="21"/>
  <c r="AE87" i="21"/>
  <c r="AA87" i="21"/>
  <c r="AR86" i="21"/>
  <c r="AQ86" i="21"/>
  <c r="AP86" i="21"/>
  <c r="AO86" i="21"/>
  <c r="AN86" i="21"/>
  <c r="AM86" i="21"/>
  <c r="AL86" i="21"/>
  <c r="AK86" i="21"/>
  <c r="AJ86" i="21"/>
  <c r="AI86" i="21"/>
  <c r="AH86" i="21"/>
  <c r="AG86" i="21"/>
  <c r="AF86" i="21"/>
  <c r="AE86" i="21"/>
  <c r="AA86" i="21"/>
  <c r="AR85" i="21"/>
  <c r="AQ85" i="21"/>
  <c r="AP85" i="21"/>
  <c r="AO85" i="21"/>
  <c r="AN85" i="21"/>
  <c r="AM85" i="21"/>
  <c r="AL85" i="21"/>
  <c r="AK85" i="21"/>
  <c r="AJ85" i="21"/>
  <c r="AI85" i="21"/>
  <c r="AH85" i="21"/>
  <c r="AG85" i="21"/>
  <c r="AF85" i="21"/>
  <c r="AE85" i="21"/>
  <c r="AA85" i="21"/>
  <c r="AR84" i="21"/>
  <c r="AQ84" i="21"/>
  <c r="AP84" i="21"/>
  <c r="AO84" i="21"/>
  <c r="AN84" i="21"/>
  <c r="AM84" i="21"/>
  <c r="AL84" i="21"/>
  <c r="AK84" i="21"/>
  <c r="AJ84" i="21"/>
  <c r="AI84" i="21"/>
  <c r="AH84" i="21"/>
  <c r="AG84" i="21"/>
  <c r="AF84" i="21"/>
  <c r="AE84" i="21"/>
  <c r="AA84" i="21"/>
  <c r="AR83" i="21"/>
  <c r="AQ83" i="21"/>
  <c r="AP83" i="21"/>
  <c r="AO83" i="21"/>
  <c r="AN83" i="21"/>
  <c r="AM83" i="21"/>
  <c r="AL83" i="21"/>
  <c r="AK83" i="21"/>
  <c r="AJ83" i="21"/>
  <c r="AI83" i="21"/>
  <c r="AH83" i="21"/>
  <c r="AG83" i="21"/>
  <c r="AF83" i="21"/>
  <c r="AE83" i="21"/>
  <c r="AA83" i="21"/>
  <c r="AR82" i="21"/>
  <c r="AQ82" i="21"/>
  <c r="AP82" i="21"/>
  <c r="AO82" i="21"/>
  <c r="AN82" i="21"/>
  <c r="AM82" i="21"/>
  <c r="AL82" i="21"/>
  <c r="AK82" i="21"/>
  <c r="AJ82" i="21"/>
  <c r="AI82" i="21"/>
  <c r="AH82" i="21"/>
  <c r="AG82" i="21"/>
  <c r="AF82" i="21"/>
  <c r="AE82" i="21"/>
  <c r="AA82" i="21"/>
  <c r="AR81" i="21"/>
  <c r="AQ81" i="21"/>
  <c r="AP81" i="21"/>
  <c r="AO81" i="21"/>
  <c r="AN81" i="21"/>
  <c r="AM81" i="21"/>
  <c r="AL81" i="21"/>
  <c r="AK81" i="21"/>
  <c r="AJ81" i="21"/>
  <c r="AI81" i="21"/>
  <c r="AH81" i="21"/>
  <c r="AG81" i="21"/>
  <c r="AF81" i="21"/>
  <c r="AE81" i="21"/>
  <c r="AA81" i="21"/>
  <c r="AR80" i="21"/>
  <c r="AQ80" i="21"/>
  <c r="AP80" i="21"/>
  <c r="AO80" i="21"/>
  <c r="AN80" i="21"/>
  <c r="AM80" i="21"/>
  <c r="AL80" i="21"/>
  <c r="AK80" i="21"/>
  <c r="AJ80" i="21"/>
  <c r="AI80" i="21"/>
  <c r="AH80" i="21"/>
  <c r="AG80" i="21"/>
  <c r="AF80" i="21"/>
  <c r="AE80" i="21"/>
  <c r="AA80" i="21"/>
  <c r="R80" i="21"/>
  <c r="AR79" i="21"/>
  <c r="AQ79" i="21"/>
  <c r="AP79" i="21"/>
  <c r="AO79" i="21"/>
  <c r="AN79" i="21"/>
  <c r="AM79" i="21"/>
  <c r="AL79" i="21"/>
  <c r="AK79" i="21"/>
  <c r="AJ79" i="21"/>
  <c r="AI79" i="21"/>
  <c r="AH79" i="21"/>
  <c r="AG79" i="21"/>
  <c r="AF79" i="21"/>
  <c r="AE79" i="21"/>
  <c r="AA79" i="21"/>
  <c r="AR78" i="21"/>
  <c r="AQ78" i="21"/>
  <c r="AP78" i="21"/>
  <c r="AO78" i="21"/>
  <c r="AN78" i="21"/>
  <c r="AM78" i="21"/>
  <c r="AL78" i="21"/>
  <c r="AK78" i="21"/>
  <c r="AJ78" i="21"/>
  <c r="AI78" i="21"/>
  <c r="AH78" i="21"/>
  <c r="AG78" i="21"/>
  <c r="AF78" i="21"/>
  <c r="AE78" i="21"/>
  <c r="AA78" i="21"/>
  <c r="AR77" i="21"/>
  <c r="AQ77" i="21"/>
  <c r="AP77" i="21"/>
  <c r="AO77" i="21"/>
  <c r="AN77" i="21"/>
  <c r="AM77" i="21"/>
  <c r="AL77" i="21"/>
  <c r="AK77" i="21"/>
  <c r="AJ77" i="21"/>
  <c r="AI77" i="21"/>
  <c r="AH77" i="21"/>
  <c r="AG77" i="21"/>
  <c r="AF77" i="21"/>
  <c r="AE77" i="21"/>
  <c r="AA77" i="21"/>
  <c r="AR76" i="21"/>
  <c r="AQ76" i="21"/>
  <c r="AP76" i="21"/>
  <c r="AO76" i="21"/>
  <c r="AN76" i="21"/>
  <c r="AM76" i="21"/>
  <c r="AL76" i="21"/>
  <c r="AK76" i="21"/>
  <c r="AJ76" i="21"/>
  <c r="AI76" i="21"/>
  <c r="AH76" i="21"/>
  <c r="AG76" i="21"/>
  <c r="AF76" i="21"/>
  <c r="AE76" i="21"/>
  <c r="AA76" i="21"/>
  <c r="AR75" i="21"/>
  <c r="AQ75" i="21"/>
  <c r="AP75" i="21"/>
  <c r="AO75" i="21"/>
  <c r="AN75" i="21"/>
  <c r="AM75" i="21"/>
  <c r="AL75" i="21"/>
  <c r="AK75" i="21"/>
  <c r="AJ75" i="21"/>
  <c r="AI75" i="21"/>
  <c r="AH75" i="21"/>
  <c r="AG75" i="21"/>
  <c r="AF75" i="21"/>
  <c r="AE75" i="21"/>
  <c r="AA75" i="21"/>
  <c r="AR74" i="21"/>
  <c r="AQ74" i="21"/>
  <c r="AP74" i="21"/>
  <c r="AO74" i="21"/>
  <c r="AN74" i="21"/>
  <c r="AM74" i="21"/>
  <c r="AL74" i="21"/>
  <c r="AK74" i="21"/>
  <c r="AJ74" i="21"/>
  <c r="AI74" i="21"/>
  <c r="AH74" i="21"/>
  <c r="AG74" i="21"/>
  <c r="AF74" i="21"/>
  <c r="AE74" i="21"/>
  <c r="AA74" i="21"/>
  <c r="AR73" i="21"/>
  <c r="AQ73" i="21"/>
  <c r="AP73" i="21"/>
  <c r="AO73" i="21"/>
  <c r="AN73" i="21"/>
  <c r="AM73" i="21"/>
  <c r="AL73" i="21"/>
  <c r="AK73" i="21"/>
  <c r="AJ73" i="21"/>
  <c r="AI73" i="21"/>
  <c r="AH73" i="21"/>
  <c r="AG73" i="21"/>
  <c r="AF73" i="21"/>
  <c r="AE73" i="21"/>
  <c r="AA73" i="21"/>
  <c r="AR72" i="21"/>
  <c r="AQ72" i="21"/>
  <c r="AP72" i="21"/>
  <c r="AO72" i="21"/>
  <c r="AN72" i="21"/>
  <c r="AM72" i="21"/>
  <c r="AL72" i="21"/>
  <c r="AK72" i="21"/>
  <c r="AJ72" i="21"/>
  <c r="AI72" i="21"/>
  <c r="AH72" i="21"/>
  <c r="AG72" i="21"/>
  <c r="AF72" i="21"/>
  <c r="AE72" i="21"/>
  <c r="AA72" i="21"/>
  <c r="AR71" i="21"/>
  <c r="AQ71" i="21"/>
  <c r="AP71" i="21"/>
  <c r="AO71" i="21"/>
  <c r="AN71" i="21"/>
  <c r="AM71" i="21"/>
  <c r="AL71" i="21"/>
  <c r="AK71" i="21"/>
  <c r="AJ71" i="21"/>
  <c r="AI71" i="21"/>
  <c r="AH71" i="21"/>
  <c r="AG71" i="21"/>
  <c r="AF71" i="21"/>
  <c r="AE71" i="21"/>
  <c r="AA71" i="21"/>
  <c r="AR70" i="21"/>
  <c r="AQ70" i="21"/>
  <c r="AP70" i="21"/>
  <c r="AO70" i="21"/>
  <c r="AN70" i="21"/>
  <c r="AM70" i="21"/>
  <c r="AL70" i="21"/>
  <c r="AK70" i="21"/>
  <c r="AJ70" i="21"/>
  <c r="AI70" i="21"/>
  <c r="AH70" i="21"/>
  <c r="AG70" i="21"/>
  <c r="AF70" i="21"/>
  <c r="AE70" i="21"/>
  <c r="AA70" i="21"/>
  <c r="AR69" i="21"/>
  <c r="AQ69" i="21"/>
  <c r="AP69" i="21"/>
  <c r="AO69" i="21"/>
  <c r="AN69" i="21"/>
  <c r="AM69" i="21"/>
  <c r="AL69" i="21"/>
  <c r="AK69" i="21"/>
  <c r="AJ69" i="21"/>
  <c r="AI69" i="21"/>
  <c r="AH69" i="21"/>
  <c r="AG69" i="21"/>
  <c r="AF69" i="21"/>
  <c r="AE69" i="21"/>
  <c r="AA69" i="21"/>
  <c r="AR68" i="21"/>
  <c r="AQ68" i="21"/>
  <c r="AP68" i="21"/>
  <c r="AO68" i="21"/>
  <c r="AN68" i="21"/>
  <c r="AM68" i="21"/>
  <c r="AL68" i="21"/>
  <c r="AK68" i="21"/>
  <c r="AJ68" i="21"/>
  <c r="AI68" i="21"/>
  <c r="AH68" i="21"/>
  <c r="AG68" i="21"/>
  <c r="AF68" i="21"/>
  <c r="AE68" i="21"/>
  <c r="AA68" i="21"/>
  <c r="AR67" i="21"/>
  <c r="AQ67" i="21"/>
  <c r="AP67" i="21"/>
  <c r="AO67" i="21"/>
  <c r="AN67" i="21"/>
  <c r="AM67" i="21"/>
  <c r="AL67" i="21"/>
  <c r="AK67" i="21"/>
  <c r="AJ67" i="21"/>
  <c r="AI67" i="21"/>
  <c r="AH67" i="21"/>
  <c r="AG67" i="21"/>
  <c r="AF67" i="21"/>
  <c r="AE67" i="21"/>
  <c r="AA67" i="21"/>
  <c r="AR66" i="21"/>
  <c r="AQ66" i="21"/>
  <c r="AP66" i="21"/>
  <c r="AO66" i="21"/>
  <c r="AN66" i="21"/>
  <c r="AM66" i="21"/>
  <c r="AL66" i="21"/>
  <c r="AK66" i="21"/>
  <c r="AJ66" i="21"/>
  <c r="AI66" i="21"/>
  <c r="AH66" i="21"/>
  <c r="AG66" i="21"/>
  <c r="AF66" i="21"/>
  <c r="AE66" i="21"/>
  <c r="AA66" i="21"/>
  <c r="AR65" i="21"/>
  <c r="AQ65" i="21"/>
  <c r="AP65" i="21"/>
  <c r="AO65" i="21"/>
  <c r="AN65" i="21"/>
  <c r="AM65" i="21"/>
  <c r="AL65" i="21"/>
  <c r="AK65" i="21"/>
  <c r="AJ65" i="21"/>
  <c r="AI65" i="21"/>
  <c r="AH65" i="21"/>
  <c r="AG65" i="21"/>
  <c r="AF65" i="21"/>
  <c r="AE65" i="21"/>
  <c r="AA65" i="21"/>
  <c r="AR64" i="21"/>
  <c r="AQ64" i="21"/>
  <c r="AP64" i="21"/>
  <c r="AO64" i="21"/>
  <c r="AN64" i="21"/>
  <c r="AM64" i="21"/>
  <c r="AL64" i="21"/>
  <c r="AK64" i="21"/>
  <c r="AJ64" i="21"/>
  <c r="AI64" i="21"/>
  <c r="AH64" i="21"/>
  <c r="AG64" i="21"/>
  <c r="AF64" i="21"/>
  <c r="AE64" i="21"/>
  <c r="AA64" i="21"/>
  <c r="AR63" i="21"/>
  <c r="AQ63" i="21"/>
  <c r="AP63" i="21"/>
  <c r="AO63" i="21"/>
  <c r="AN63" i="21"/>
  <c r="AM63" i="21"/>
  <c r="AL63" i="21"/>
  <c r="AK63" i="21"/>
  <c r="AJ63" i="21"/>
  <c r="AI63" i="21"/>
  <c r="AH63" i="21"/>
  <c r="AG63" i="21"/>
  <c r="AF63" i="21"/>
  <c r="AE63" i="21"/>
  <c r="AA63" i="21"/>
  <c r="AR62" i="21"/>
  <c r="AQ62" i="21"/>
  <c r="AP62" i="21"/>
  <c r="AO62" i="21"/>
  <c r="AN62" i="21"/>
  <c r="AM62" i="21"/>
  <c r="AL62" i="21"/>
  <c r="AK62" i="21"/>
  <c r="AJ62" i="21"/>
  <c r="AI62" i="21"/>
  <c r="AH62" i="21"/>
  <c r="AG62" i="21"/>
  <c r="AF62" i="21"/>
  <c r="AE62" i="21"/>
  <c r="AA62" i="21"/>
  <c r="AR61" i="21"/>
  <c r="AQ61" i="21"/>
  <c r="AP61" i="21"/>
  <c r="AO61" i="21"/>
  <c r="AN61" i="21"/>
  <c r="AM61" i="21"/>
  <c r="AL61" i="21"/>
  <c r="AK61" i="21"/>
  <c r="AJ61" i="21"/>
  <c r="AI61" i="21"/>
  <c r="AH61" i="21"/>
  <c r="AG61" i="21"/>
  <c r="AF61" i="21"/>
  <c r="AE61" i="21"/>
  <c r="AA61" i="21"/>
  <c r="AR60" i="21"/>
  <c r="AQ60" i="21"/>
  <c r="AP60" i="21"/>
  <c r="AO60" i="21"/>
  <c r="AN60" i="21"/>
  <c r="AM60" i="21"/>
  <c r="AL60" i="21"/>
  <c r="AK60" i="21"/>
  <c r="AJ60" i="21"/>
  <c r="AI60" i="21"/>
  <c r="AH60" i="21"/>
  <c r="AG60" i="21"/>
  <c r="AF60" i="21"/>
  <c r="AE60" i="21"/>
  <c r="AA60" i="21"/>
  <c r="AR59" i="21"/>
  <c r="AQ59" i="21"/>
  <c r="AP59" i="21"/>
  <c r="AO59" i="21"/>
  <c r="AN59" i="21"/>
  <c r="AM59" i="21"/>
  <c r="AL59" i="21"/>
  <c r="AK59" i="21"/>
  <c r="AJ59" i="21"/>
  <c r="AI59" i="21"/>
  <c r="AH59" i="21"/>
  <c r="AG59" i="21"/>
  <c r="AF59" i="21"/>
  <c r="AE59" i="21"/>
  <c r="AA59" i="21"/>
  <c r="AR58" i="21"/>
  <c r="AQ58" i="21"/>
  <c r="AP58" i="21"/>
  <c r="AO58" i="21"/>
  <c r="AN58" i="21"/>
  <c r="AM58" i="21"/>
  <c r="AL58" i="21"/>
  <c r="AK58" i="21"/>
  <c r="AJ58" i="21"/>
  <c r="AI58" i="21"/>
  <c r="AH58" i="21"/>
  <c r="AG58" i="21"/>
  <c r="AF58" i="21"/>
  <c r="AE58" i="21"/>
  <c r="AA58" i="21"/>
  <c r="AR57" i="21"/>
  <c r="AQ57" i="21"/>
  <c r="AP57" i="21"/>
  <c r="AO57" i="21"/>
  <c r="AN57" i="21"/>
  <c r="AM57" i="21"/>
  <c r="AL57" i="21"/>
  <c r="AK57" i="21"/>
  <c r="AJ57" i="21"/>
  <c r="AI57" i="21"/>
  <c r="AH57" i="21"/>
  <c r="AG57" i="21"/>
  <c r="AF57" i="21"/>
  <c r="AE57" i="21"/>
  <c r="AA57" i="21"/>
  <c r="AR56" i="21"/>
  <c r="AQ56" i="21"/>
  <c r="AP56" i="21"/>
  <c r="AO56" i="21"/>
  <c r="AN56" i="21"/>
  <c r="AM56" i="21"/>
  <c r="AL56" i="21"/>
  <c r="AK56" i="21"/>
  <c r="AJ56" i="21"/>
  <c r="AI56" i="21"/>
  <c r="AH56" i="21"/>
  <c r="AG56" i="21"/>
  <c r="AF56" i="21"/>
  <c r="AE56" i="21"/>
  <c r="AA56" i="21"/>
  <c r="AR55" i="21"/>
  <c r="AQ55" i="21"/>
  <c r="AP55" i="21"/>
  <c r="AO55" i="21"/>
  <c r="AN55" i="21"/>
  <c r="AM55" i="21"/>
  <c r="AL55" i="21"/>
  <c r="AK55" i="21"/>
  <c r="AJ55" i="21"/>
  <c r="AI55" i="21"/>
  <c r="AH55" i="21"/>
  <c r="AG55" i="21"/>
  <c r="AF55" i="21"/>
  <c r="AE55" i="21"/>
  <c r="AA55" i="21"/>
  <c r="AR54" i="21"/>
  <c r="AQ54" i="21"/>
  <c r="AP54" i="21"/>
  <c r="AO54" i="21"/>
  <c r="AN54" i="21"/>
  <c r="AM54" i="21"/>
  <c r="AL54" i="21"/>
  <c r="AK54" i="21"/>
  <c r="AJ54" i="21"/>
  <c r="AI54" i="21"/>
  <c r="AH54" i="21"/>
  <c r="AG54" i="21"/>
  <c r="AF54" i="21"/>
  <c r="AE54" i="21"/>
  <c r="AA54" i="21"/>
  <c r="AR53" i="21"/>
  <c r="AQ53" i="21"/>
  <c r="AP53" i="21"/>
  <c r="AO53" i="21"/>
  <c r="AN53" i="21"/>
  <c r="AM53" i="21"/>
  <c r="AL53" i="21"/>
  <c r="AK53" i="21"/>
  <c r="AJ53" i="21"/>
  <c r="AI53" i="21"/>
  <c r="AH53" i="21"/>
  <c r="AG53" i="21"/>
  <c r="AF53" i="21"/>
  <c r="AE53" i="21"/>
  <c r="AA53" i="21"/>
  <c r="AR52" i="21"/>
  <c r="AQ52" i="21"/>
  <c r="AP52" i="21"/>
  <c r="AO52" i="21"/>
  <c r="AN52" i="21"/>
  <c r="AM52" i="21"/>
  <c r="AL52" i="21"/>
  <c r="AK52" i="21"/>
  <c r="AJ52" i="21"/>
  <c r="AI52" i="21"/>
  <c r="AH52" i="21"/>
  <c r="AG52" i="21"/>
  <c r="AF52" i="21"/>
  <c r="AE52" i="21"/>
  <c r="AA52" i="21"/>
  <c r="AR51" i="21"/>
  <c r="AQ51" i="21"/>
  <c r="AP51" i="21"/>
  <c r="AO51" i="21"/>
  <c r="AN51" i="21"/>
  <c r="AM51" i="21"/>
  <c r="AL51" i="21"/>
  <c r="AK51" i="21"/>
  <c r="AJ51" i="21"/>
  <c r="AI51" i="21"/>
  <c r="AH51" i="21"/>
  <c r="AG51" i="21"/>
  <c r="AF51" i="21"/>
  <c r="AE51" i="21"/>
  <c r="AA51" i="21"/>
  <c r="AR50" i="21"/>
  <c r="AQ50" i="21"/>
  <c r="AP50" i="21"/>
  <c r="AO50" i="21"/>
  <c r="AN50" i="21"/>
  <c r="AM50" i="21"/>
  <c r="AL50" i="21"/>
  <c r="AK50" i="21"/>
  <c r="AJ50" i="21"/>
  <c r="AI50" i="21"/>
  <c r="AH50" i="21"/>
  <c r="AG50" i="21"/>
  <c r="AF50" i="21"/>
  <c r="AE50" i="21"/>
  <c r="AA50" i="21"/>
  <c r="AR49" i="21"/>
  <c r="AQ49" i="21"/>
  <c r="AP49" i="21"/>
  <c r="AO49" i="21"/>
  <c r="AN49" i="21"/>
  <c r="AM49" i="21"/>
  <c r="AL49" i="21"/>
  <c r="AK49" i="21"/>
  <c r="AJ49" i="21"/>
  <c r="AI49" i="21"/>
  <c r="AH49" i="21"/>
  <c r="AG49" i="21"/>
  <c r="AF49" i="21"/>
  <c r="AE49" i="21"/>
  <c r="AA49" i="21"/>
  <c r="AR48" i="21"/>
  <c r="AQ48" i="21"/>
  <c r="AP48" i="21"/>
  <c r="AO48" i="21"/>
  <c r="AN48" i="21"/>
  <c r="AM48" i="21"/>
  <c r="AL48" i="21"/>
  <c r="AK48" i="21"/>
  <c r="AJ48" i="21"/>
  <c r="AI48" i="21"/>
  <c r="AH48" i="21"/>
  <c r="AG48" i="21"/>
  <c r="AF48" i="21"/>
  <c r="AE48" i="21"/>
  <c r="AA48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A47" i="21"/>
  <c r="AR46" i="21"/>
  <c r="AQ46" i="21"/>
  <c r="AP46" i="21"/>
  <c r="AO46" i="21"/>
  <c r="AN46" i="21"/>
  <c r="AM46" i="21"/>
  <c r="AL46" i="21"/>
  <c r="AK46" i="21"/>
  <c r="AJ46" i="21"/>
  <c r="AI46" i="21"/>
  <c r="AH46" i="21"/>
  <c r="AG46" i="21"/>
  <c r="AF46" i="21"/>
  <c r="AE46" i="21"/>
  <c r="AA46" i="21"/>
  <c r="AR45" i="21"/>
  <c r="AQ45" i="21"/>
  <c r="AP45" i="21"/>
  <c r="AO45" i="21"/>
  <c r="AN45" i="21"/>
  <c r="AM45" i="21"/>
  <c r="AL45" i="21"/>
  <c r="AK45" i="21"/>
  <c r="AJ45" i="21"/>
  <c r="AI45" i="21"/>
  <c r="AH45" i="21"/>
  <c r="AG45" i="21"/>
  <c r="AF45" i="21"/>
  <c r="AE45" i="21"/>
  <c r="AA45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A44" i="21"/>
  <c r="AR43" i="21"/>
  <c r="AQ43" i="21"/>
  <c r="AP43" i="21"/>
  <c r="AO43" i="21"/>
  <c r="AN43" i="21"/>
  <c r="AM43" i="21"/>
  <c r="AL43" i="21"/>
  <c r="AK43" i="21"/>
  <c r="AJ43" i="21"/>
  <c r="AI43" i="21"/>
  <c r="AH43" i="21"/>
  <c r="AG43" i="21"/>
  <c r="AF43" i="21"/>
  <c r="AE43" i="21"/>
  <c r="AA43" i="21"/>
  <c r="AR42" i="21"/>
  <c r="AQ42" i="21"/>
  <c r="AP42" i="21"/>
  <c r="AO42" i="21"/>
  <c r="AN42" i="21"/>
  <c r="AM42" i="21"/>
  <c r="AL42" i="21"/>
  <c r="AK42" i="21"/>
  <c r="AJ42" i="21"/>
  <c r="AI42" i="21"/>
  <c r="AH42" i="21"/>
  <c r="AG42" i="21"/>
  <c r="AF42" i="21"/>
  <c r="AE42" i="21"/>
  <c r="AA42" i="21"/>
  <c r="AR41" i="21"/>
  <c r="AQ41" i="21"/>
  <c r="AP41" i="21"/>
  <c r="AO41" i="21"/>
  <c r="AN41" i="21"/>
  <c r="AM41" i="21"/>
  <c r="AL41" i="21"/>
  <c r="AK41" i="21"/>
  <c r="AJ41" i="21"/>
  <c r="AI41" i="21"/>
  <c r="AH41" i="21"/>
  <c r="AG41" i="21"/>
  <c r="AF41" i="21"/>
  <c r="AE41" i="21"/>
  <c r="AA41" i="21"/>
  <c r="AR40" i="21"/>
  <c r="AQ40" i="21"/>
  <c r="AP40" i="21"/>
  <c r="AO40" i="21"/>
  <c r="AN40" i="21"/>
  <c r="AM40" i="21"/>
  <c r="AL40" i="21"/>
  <c r="AK40" i="21"/>
  <c r="AJ40" i="21"/>
  <c r="AI40" i="21"/>
  <c r="AH40" i="21"/>
  <c r="AG40" i="21"/>
  <c r="AF40" i="21"/>
  <c r="AE40" i="21"/>
  <c r="AA40" i="21"/>
  <c r="AR39" i="21"/>
  <c r="AQ39" i="21"/>
  <c r="AP39" i="21"/>
  <c r="AO39" i="21"/>
  <c r="AN39" i="21"/>
  <c r="AM39" i="21"/>
  <c r="AL39" i="21"/>
  <c r="AK39" i="21"/>
  <c r="AJ39" i="21"/>
  <c r="AI39" i="21"/>
  <c r="AH39" i="21"/>
  <c r="AG39" i="21"/>
  <c r="AF39" i="21"/>
  <c r="AE39" i="21"/>
  <c r="AA39" i="21"/>
  <c r="AR38" i="21"/>
  <c r="AQ38" i="21"/>
  <c r="AP38" i="21"/>
  <c r="AO38" i="21"/>
  <c r="AN38" i="21"/>
  <c r="AM38" i="21"/>
  <c r="AL38" i="21"/>
  <c r="AK38" i="21"/>
  <c r="AJ38" i="21"/>
  <c r="AI38" i="21"/>
  <c r="AH38" i="21"/>
  <c r="AG38" i="21"/>
  <c r="AF38" i="21"/>
  <c r="AE38" i="21"/>
  <c r="AA38" i="21"/>
  <c r="AR37" i="21"/>
  <c r="AQ37" i="21"/>
  <c r="AP37" i="21"/>
  <c r="AO37" i="21"/>
  <c r="AN37" i="21"/>
  <c r="AM37" i="21"/>
  <c r="AL37" i="21"/>
  <c r="AK37" i="21"/>
  <c r="AJ37" i="21"/>
  <c r="AI37" i="21"/>
  <c r="AH37" i="21"/>
  <c r="AG37" i="21"/>
  <c r="AF37" i="21"/>
  <c r="AE37" i="21"/>
  <c r="AA37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A36" i="21"/>
  <c r="AR35" i="21"/>
  <c r="AQ35" i="21"/>
  <c r="AP35" i="21"/>
  <c r="AO35" i="21"/>
  <c r="AN35" i="21"/>
  <c r="AM35" i="21"/>
  <c r="AL35" i="21"/>
  <c r="AK35" i="21"/>
  <c r="AJ35" i="21"/>
  <c r="AI35" i="21"/>
  <c r="AH35" i="21"/>
  <c r="AG35" i="21"/>
  <c r="AF35" i="21"/>
  <c r="AE35" i="21"/>
  <c r="AA35" i="21"/>
  <c r="AR34" i="21"/>
  <c r="AQ34" i="21"/>
  <c r="AP34" i="21"/>
  <c r="AO34" i="21"/>
  <c r="AN34" i="21"/>
  <c r="AM34" i="21"/>
  <c r="AL34" i="21"/>
  <c r="AK34" i="21"/>
  <c r="AJ34" i="21"/>
  <c r="AI34" i="21"/>
  <c r="AH34" i="21"/>
  <c r="AG34" i="21"/>
  <c r="AF34" i="21"/>
  <c r="AE34" i="21"/>
  <c r="AA34" i="21"/>
  <c r="AR33" i="21"/>
  <c r="AQ33" i="21"/>
  <c r="AP33" i="21"/>
  <c r="AO33" i="21"/>
  <c r="AN33" i="21"/>
  <c r="AM33" i="21"/>
  <c r="AL33" i="21"/>
  <c r="AK33" i="21"/>
  <c r="AJ33" i="21"/>
  <c r="AI33" i="21"/>
  <c r="AH33" i="21"/>
  <c r="AG33" i="21"/>
  <c r="AF33" i="21"/>
  <c r="AE33" i="21"/>
  <c r="AA33" i="21"/>
  <c r="AR32" i="21"/>
  <c r="AQ32" i="21"/>
  <c r="AP32" i="21"/>
  <c r="AO32" i="21"/>
  <c r="AN32" i="21"/>
  <c r="AM32" i="21"/>
  <c r="AL32" i="21"/>
  <c r="AK32" i="21"/>
  <c r="AJ32" i="21"/>
  <c r="AI32" i="21"/>
  <c r="AH32" i="21"/>
  <c r="AG32" i="21"/>
  <c r="AF32" i="21"/>
  <c r="AE32" i="21"/>
  <c r="AA32" i="21"/>
  <c r="AR31" i="21"/>
  <c r="AQ31" i="21"/>
  <c r="AP31" i="21"/>
  <c r="AO31" i="21"/>
  <c r="AN31" i="21"/>
  <c r="AM31" i="21"/>
  <c r="AL31" i="21"/>
  <c r="AK31" i="21"/>
  <c r="AJ31" i="21"/>
  <c r="AI31" i="21"/>
  <c r="AH31" i="21"/>
  <c r="AG31" i="21"/>
  <c r="AF31" i="21"/>
  <c r="AE31" i="21"/>
  <c r="AA31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A30" i="21"/>
  <c r="AR29" i="21"/>
  <c r="AQ29" i="21"/>
  <c r="AP29" i="21"/>
  <c r="AO29" i="21"/>
  <c r="AN29" i="21"/>
  <c r="AM29" i="21"/>
  <c r="AL29" i="21"/>
  <c r="AK29" i="21"/>
  <c r="AJ29" i="21"/>
  <c r="AI29" i="21"/>
  <c r="AH29" i="21"/>
  <c r="AG29" i="21"/>
  <c r="AF29" i="21"/>
  <c r="AE29" i="21"/>
  <c r="AA29" i="21"/>
  <c r="AR28" i="21"/>
  <c r="AQ28" i="21"/>
  <c r="AP28" i="21"/>
  <c r="AO28" i="21"/>
  <c r="AN28" i="21"/>
  <c r="AM28" i="21"/>
  <c r="AL28" i="21"/>
  <c r="AK28" i="21"/>
  <c r="AJ28" i="21"/>
  <c r="AI28" i="21"/>
  <c r="AH28" i="21"/>
  <c r="AG28" i="21"/>
  <c r="AF28" i="21"/>
  <c r="AE28" i="21"/>
  <c r="AA28" i="21"/>
  <c r="AR27" i="21"/>
  <c r="AQ27" i="21"/>
  <c r="AP27" i="21"/>
  <c r="AO27" i="21"/>
  <c r="AN27" i="21"/>
  <c r="AM27" i="21"/>
  <c r="AL27" i="21"/>
  <c r="AK27" i="21"/>
  <c r="AJ27" i="21"/>
  <c r="AI27" i="21"/>
  <c r="AH27" i="21"/>
  <c r="AG27" i="21"/>
  <c r="AF27" i="21"/>
  <c r="AE27" i="21"/>
  <c r="AA27" i="21"/>
  <c r="AR26" i="21"/>
  <c r="AQ26" i="21"/>
  <c r="AP26" i="21"/>
  <c r="AO26" i="21"/>
  <c r="AN26" i="21"/>
  <c r="AM26" i="21"/>
  <c r="AL26" i="21"/>
  <c r="AK26" i="21"/>
  <c r="AJ26" i="21"/>
  <c r="AI26" i="21"/>
  <c r="AH26" i="21"/>
  <c r="AG26" i="21"/>
  <c r="AF26" i="21"/>
  <c r="AE26" i="21"/>
  <c r="AA26" i="21"/>
  <c r="AR25" i="21"/>
  <c r="AQ25" i="21"/>
  <c r="AP25" i="21"/>
  <c r="AO25" i="21"/>
  <c r="AN25" i="21"/>
  <c r="AM25" i="21"/>
  <c r="AL25" i="21"/>
  <c r="AK25" i="21"/>
  <c r="AJ25" i="21"/>
  <c r="AI25" i="21"/>
  <c r="AH25" i="21"/>
  <c r="AG25" i="21"/>
  <c r="AF25" i="21"/>
  <c r="AE25" i="21"/>
  <c r="AA25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A24" i="21"/>
  <c r="AR23" i="21"/>
  <c r="AQ23" i="21"/>
  <c r="AP23" i="21"/>
  <c r="AO23" i="21"/>
  <c r="AN23" i="21"/>
  <c r="AM23" i="21"/>
  <c r="AL23" i="21"/>
  <c r="AK23" i="21"/>
  <c r="AJ23" i="21"/>
  <c r="AI23" i="21"/>
  <c r="AH23" i="21"/>
  <c r="AG23" i="21"/>
  <c r="AF23" i="21"/>
  <c r="AE23" i="21"/>
  <c r="AA23" i="21"/>
  <c r="AR22" i="21"/>
  <c r="AQ22" i="21"/>
  <c r="AP22" i="21"/>
  <c r="AO22" i="21"/>
  <c r="AN22" i="21"/>
  <c r="AM22" i="21"/>
  <c r="AL22" i="21"/>
  <c r="AK22" i="21"/>
  <c r="AJ22" i="21"/>
  <c r="AI22" i="21"/>
  <c r="AH22" i="21"/>
  <c r="AG22" i="21"/>
  <c r="AF22" i="21"/>
  <c r="AE22" i="21"/>
  <c r="AA22" i="21"/>
  <c r="AR21" i="21"/>
  <c r="AQ21" i="21"/>
  <c r="AP21" i="21"/>
  <c r="AO21" i="21"/>
  <c r="AN21" i="21"/>
  <c r="AM21" i="21"/>
  <c r="AL21" i="21"/>
  <c r="AK21" i="21"/>
  <c r="AJ21" i="21"/>
  <c r="AI21" i="21"/>
  <c r="AH21" i="21"/>
  <c r="AG21" i="21"/>
  <c r="AF21" i="21"/>
  <c r="AE21" i="21"/>
  <c r="AA21" i="21"/>
  <c r="P21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A20" i="21"/>
  <c r="AR19" i="21"/>
  <c r="AQ19" i="21"/>
  <c r="AP19" i="21"/>
  <c r="AO19" i="21"/>
  <c r="AN19" i="21"/>
  <c r="AM19" i="21"/>
  <c r="AL19" i="21"/>
  <c r="AK19" i="21"/>
  <c r="AJ19" i="21"/>
  <c r="AI19" i="21"/>
  <c r="AH19" i="21"/>
  <c r="AG19" i="21"/>
  <c r="AF19" i="21"/>
  <c r="AE19" i="21"/>
  <c r="AA19" i="21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AA18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A17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A16" i="21"/>
  <c r="R16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A15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A14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A13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A12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A11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A10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AE9" i="21"/>
  <c r="AA9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A8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A7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A6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A5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A4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A3" i="21"/>
  <c r="AR1" i="21"/>
  <c r="AQ1" i="21"/>
  <c r="AP1" i="21"/>
  <c r="AO1" i="21"/>
  <c r="AN1" i="21"/>
  <c r="AM1" i="21"/>
  <c r="AL1" i="21"/>
  <c r="AK1" i="21"/>
  <c r="AJ1" i="21"/>
  <c r="AI1" i="21"/>
  <c r="AH1" i="21"/>
  <c r="AG1" i="21"/>
  <c r="AF1" i="21"/>
  <c r="AE1" i="21"/>
  <c r="AA1" i="21"/>
  <c r="Z1" i="21"/>
  <c r="Y1" i="21"/>
  <c r="X1" i="21"/>
  <c r="W1" i="21"/>
  <c r="V1" i="21"/>
  <c r="U1" i="21"/>
  <c r="T1" i="21"/>
  <c r="S1" i="21"/>
  <c r="R1" i="21"/>
  <c r="Q1" i="21"/>
  <c r="P1" i="21"/>
  <c r="O1" i="21"/>
  <c r="AA135" i="18"/>
  <c r="Z135" i="18"/>
  <c r="Y135" i="18"/>
  <c r="X135" i="18"/>
  <c r="W135" i="18"/>
  <c r="V135" i="18"/>
  <c r="U135" i="18"/>
  <c r="T135" i="18"/>
  <c r="S135" i="18"/>
  <c r="R135" i="18"/>
  <c r="Q135" i="18"/>
  <c r="P135" i="18"/>
  <c r="O135" i="18"/>
  <c r="AA134" i="18"/>
  <c r="W134" i="18"/>
  <c r="V134" i="18"/>
  <c r="U134" i="18"/>
  <c r="T134" i="18"/>
  <c r="S134" i="18"/>
  <c r="R134" i="18"/>
  <c r="Q134" i="18"/>
  <c r="P134" i="18"/>
  <c r="O134" i="18"/>
  <c r="AA133" i="18"/>
  <c r="Z133" i="18"/>
  <c r="Y133" i="18"/>
  <c r="X133" i="18"/>
  <c r="W133" i="18"/>
  <c r="V133" i="18"/>
  <c r="AA132" i="18"/>
  <c r="AA130" i="18"/>
  <c r="Z130" i="18"/>
  <c r="Y130" i="18"/>
  <c r="X130" i="18"/>
  <c r="W130" i="18"/>
  <c r="V130" i="18"/>
  <c r="U130" i="18"/>
  <c r="T130" i="18"/>
  <c r="S130" i="18"/>
  <c r="R130" i="18"/>
  <c r="Q130" i="18"/>
  <c r="P130" i="18"/>
  <c r="O130" i="18"/>
  <c r="AA129" i="18"/>
  <c r="AC127" i="18"/>
  <c r="AA127" i="18"/>
  <c r="Z127" i="18"/>
  <c r="Y127" i="18"/>
  <c r="X127" i="18"/>
  <c r="W127" i="18"/>
  <c r="V127" i="18"/>
  <c r="U127" i="18"/>
  <c r="T127" i="18"/>
  <c r="S127" i="18"/>
  <c r="R127" i="18"/>
  <c r="Q127" i="18"/>
  <c r="P127" i="18"/>
  <c r="O127" i="18"/>
  <c r="AC126" i="18"/>
  <c r="AA126" i="18"/>
  <c r="Z126" i="18"/>
  <c r="Y126" i="18"/>
  <c r="X126" i="18"/>
  <c r="W126" i="18"/>
  <c r="V126" i="18"/>
  <c r="U126" i="18"/>
  <c r="T126" i="18"/>
  <c r="S126" i="18"/>
  <c r="R126" i="18"/>
  <c r="Q126" i="18"/>
  <c r="P126" i="18"/>
  <c r="O126" i="18"/>
  <c r="AC125" i="18"/>
  <c r="AA125" i="18"/>
  <c r="Z125" i="18"/>
  <c r="Y125" i="18"/>
  <c r="X125" i="18"/>
  <c r="W125" i="18"/>
  <c r="V125" i="18"/>
  <c r="U125" i="18"/>
  <c r="T125" i="18"/>
  <c r="S125" i="18"/>
  <c r="R125" i="18"/>
  <c r="Q125" i="18"/>
  <c r="P125" i="18"/>
  <c r="O125" i="18"/>
  <c r="AC124" i="18"/>
  <c r="AA124" i="18"/>
  <c r="Z124" i="18"/>
  <c r="Y124" i="18"/>
  <c r="X124" i="18"/>
  <c r="W124" i="18"/>
  <c r="V124" i="18"/>
  <c r="U124" i="18"/>
  <c r="T124" i="18"/>
  <c r="S124" i="18"/>
  <c r="R124" i="18"/>
  <c r="Q124" i="18"/>
  <c r="P124" i="18"/>
  <c r="O124" i="18"/>
  <c r="AC123" i="18"/>
  <c r="AA123" i="18"/>
  <c r="Z123" i="18"/>
  <c r="Y123" i="18"/>
  <c r="X123" i="18"/>
  <c r="W123" i="18"/>
  <c r="V123" i="18"/>
  <c r="U123" i="18"/>
  <c r="T123" i="18"/>
  <c r="S123" i="18"/>
  <c r="R123" i="18"/>
  <c r="Q123" i="18"/>
  <c r="P123" i="18"/>
  <c r="O123" i="18"/>
  <c r="AC122" i="18"/>
  <c r="AA122" i="18"/>
  <c r="Z122" i="18"/>
  <c r="Y122" i="18"/>
  <c r="X122" i="18"/>
  <c r="W122" i="18"/>
  <c r="V122" i="18"/>
  <c r="U122" i="18"/>
  <c r="T122" i="18"/>
  <c r="S122" i="18"/>
  <c r="R122" i="18"/>
  <c r="Q122" i="18"/>
  <c r="P122" i="18"/>
  <c r="O122" i="18"/>
  <c r="AC121" i="18"/>
  <c r="AA121" i="18"/>
  <c r="Z121" i="18"/>
  <c r="Y121" i="18"/>
  <c r="X121" i="18"/>
  <c r="W121" i="18"/>
  <c r="V121" i="18"/>
  <c r="U121" i="18"/>
  <c r="T121" i="18"/>
  <c r="S121" i="18"/>
  <c r="R121" i="18"/>
  <c r="Q121" i="18"/>
  <c r="P121" i="18"/>
  <c r="O121" i="18"/>
  <c r="AC120" i="18"/>
  <c r="AA120" i="18"/>
  <c r="Z120" i="18"/>
  <c r="Y120" i="18"/>
  <c r="X120" i="18"/>
  <c r="W120" i="18"/>
  <c r="V120" i="18"/>
  <c r="U120" i="18"/>
  <c r="T120" i="18"/>
  <c r="S120" i="18"/>
  <c r="R120" i="18"/>
  <c r="Q120" i="18"/>
  <c r="P120" i="18"/>
  <c r="O120" i="18"/>
  <c r="AC119" i="18"/>
  <c r="AA119" i="18"/>
  <c r="Z119" i="18"/>
  <c r="Y119" i="18"/>
  <c r="X119" i="18"/>
  <c r="W119" i="18"/>
  <c r="V119" i="18"/>
  <c r="U119" i="18"/>
  <c r="T119" i="18"/>
  <c r="S119" i="18"/>
  <c r="R119" i="18"/>
  <c r="Q119" i="18"/>
  <c r="P119" i="18"/>
  <c r="O119" i="18"/>
  <c r="AQ118" i="18"/>
  <c r="AP118" i="18"/>
  <c r="AO118" i="18"/>
  <c r="AN118" i="18"/>
  <c r="AM118" i="18"/>
  <c r="AL118" i="18"/>
  <c r="AK118" i="18"/>
  <c r="AJ118" i="18"/>
  <c r="AI118" i="18"/>
  <c r="AH118" i="18"/>
  <c r="AG118" i="18"/>
  <c r="AF118" i="18"/>
  <c r="AE118" i="18"/>
  <c r="AC118" i="18"/>
  <c r="AA118" i="18"/>
  <c r="Z118" i="18"/>
  <c r="Y118" i="18"/>
  <c r="X118" i="18"/>
  <c r="W118" i="18"/>
  <c r="V118" i="18"/>
  <c r="U118" i="18"/>
  <c r="T118" i="18"/>
  <c r="S118" i="18"/>
  <c r="R118" i="18"/>
  <c r="Q118" i="18"/>
  <c r="P118" i="18"/>
  <c r="O118" i="18"/>
  <c r="AR117" i="18"/>
  <c r="AQ117" i="18"/>
  <c r="AP117" i="18"/>
  <c r="AO117" i="18"/>
  <c r="AN117" i="18"/>
  <c r="AM117" i="18"/>
  <c r="AL117" i="18"/>
  <c r="AK117" i="18"/>
  <c r="AJ117" i="18"/>
  <c r="AI117" i="18"/>
  <c r="AH117" i="18"/>
  <c r="AG117" i="18"/>
  <c r="AF117" i="18"/>
  <c r="AE117" i="18"/>
  <c r="AC117" i="18"/>
  <c r="AB117" i="18"/>
  <c r="AA117" i="18"/>
  <c r="AR116" i="18"/>
  <c r="AQ116" i="18"/>
  <c r="AP116" i="18"/>
  <c r="AO116" i="18"/>
  <c r="AN116" i="18"/>
  <c r="AM116" i="18"/>
  <c r="AL116" i="18"/>
  <c r="AK116" i="18"/>
  <c r="AJ116" i="18"/>
  <c r="AI116" i="18"/>
  <c r="AH116" i="18"/>
  <c r="AG116" i="18"/>
  <c r="AF116" i="18"/>
  <c r="AE116" i="18"/>
  <c r="AC116" i="18"/>
  <c r="AB116" i="18"/>
  <c r="AA116" i="18"/>
  <c r="AR115" i="18"/>
  <c r="AQ115" i="18"/>
  <c r="AP115" i="18"/>
  <c r="AO115" i="18"/>
  <c r="AN115" i="18"/>
  <c r="AM115" i="18"/>
  <c r="AL115" i="18"/>
  <c r="AK115" i="18"/>
  <c r="AJ115" i="18"/>
  <c r="AI115" i="18"/>
  <c r="AH115" i="18"/>
  <c r="AG115" i="18"/>
  <c r="AF115" i="18"/>
  <c r="AE115" i="18"/>
  <c r="AC115" i="18"/>
  <c r="AB115" i="18"/>
  <c r="AA115" i="18"/>
  <c r="AR114" i="18"/>
  <c r="AQ114" i="18"/>
  <c r="AP114" i="18"/>
  <c r="AO114" i="18"/>
  <c r="AN114" i="18"/>
  <c r="AM114" i="18"/>
  <c r="AL114" i="18"/>
  <c r="AK114" i="18"/>
  <c r="AJ114" i="18"/>
  <c r="AI114" i="18"/>
  <c r="AH114" i="18"/>
  <c r="AG114" i="18"/>
  <c r="AF114" i="18"/>
  <c r="AE114" i="18"/>
  <c r="AC114" i="18"/>
  <c r="AB114" i="18"/>
  <c r="AA114" i="18"/>
  <c r="AR113" i="18"/>
  <c r="AQ113" i="18"/>
  <c r="AP113" i="18"/>
  <c r="AO113" i="18"/>
  <c r="AN113" i="18"/>
  <c r="AM113" i="18"/>
  <c r="AL113" i="18"/>
  <c r="AK113" i="18"/>
  <c r="AJ113" i="18"/>
  <c r="AI113" i="18"/>
  <c r="AH113" i="18"/>
  <c r="AG113" i="18"/>
  <c r="AF113" i="18"/>
  <c r="AE113" i="18"/>
  <c r="AC113" i="18"/>
  <c r="AB113" i="18"/>
  <c r="AA113" i="18"/>
  <c r="AR112" i="18"/>
  <c r="AQ112" i="18"/>
  <c r="AP112" i="18"/>
  <c r="AO112" i="18"/>
  <c r="AN112" i="18"/>
  <c r="AM112" i="18"/>
  <c r="AL112" i="18"/>
  <c r="AK112" i="18"/>
  <c r="AJ112" i="18"/>
  <c r="AI112" i="18"/>
  <c r="AH112" i="18"/>
  <c r="AG112" i="18"/>
  <c r="AF112" i="18"/>
  <c r="AE112" i="18"/>
  <c r="AC112" i="18"/>
  <c r="AB112" i="18"/>
  <c r="AA112" i="18"/>
  <c r="AR111" i="18"/>
  <c r="AQ111" i="18"/>
  <c r="AP111" i="18"/>
  <c r="AO111" i="18"/>
  <c r="AN111" i="18"/>
  <c r="AM111" i="18"/>
  <c r="AL111" i="18"/>
  <c r="AK111" i="18"/>
  <c r="AJ111" i="18"/>
  <c r="AI111" i="18"/>
  <c r="AH111" i="18"/>
  <c r="AG111" i="18"/>
  <c r="AF111" i="18"/>
  <c r="AE111" i="18"/>
  <c r="AC111" i="18"/>
  <c r="AB111" i="18"/>
  <c r="AA111" i="18"/>
  <c r="AR110" i="18"/>
  <c r="AQ110" i="18"/>
  <c r="AP110" i="18"/>
  <c r="AO110" i="18"/>
  <c r="AN110" i="18"/>
  <c r="AM110" i="18"/>
  <c r="AL110" i="18"/>
  <c r="AK110" i="18"/>
  <c r="AJ110" i="18"/>
  <c r="AI110" i="18"/>
  <c r="AH110" i="18"/>
  <c r="AG110" i="18"/>
  <c r="AF110" i="18"/>
  <c r="AE110" i="18"/>
  <c r="AC110" i="18"/>
  <c r="AB110" i="18"/>
  <c r="AA110" i="18"/>
  <c r="AR109" i="18"/>
  <c r="AQ109" i="18"/>
  <c r="AP109" i="18"/>
  <c r="AO109" i="18"/>
  <c r="AN109" i="18"/>
  <c r="AM109" i="18"/>
  <c r="AL109" i="18"/>
  <c r="AK109" i="18"/>
  <c r="AJ109" i="18"/>
  <c r="AI109" i="18"/>
  <c r="AH109" i="18"/>
  <c r="AG109" i="18"/>
  <c r="AF109" i="18"/>
  <c r="AE109" i="18"/>
  <c r="AC109" i="18"/>
  <c r="AB109" i="18"/>
  <c r="AA109" i="18"/>
  <c r="AR108" i="18"/>
  <c r="AQ108" i="18"/>
  <c r="AP108" i="18"/>
  <c r="AO108" i="18"/>
  <c r="AN108" i="18"/>
  <c r="AM108" i="18"/>
  <c r="AL108" i="18"/>
  <c r="AK108" i="18"/>
  <c r="AJ108" i="18"/>
  <c r="AI108" i="18"/>
  <c r="AH108" i="18"/>
  <c r="AG108" i="18"/>
  <c r="AF108" i="18"/>
  <c r="AE108" i="18"/>
  <c r="AC108" i="18"/>
  <c r="AB108" i="18"/>
  <c r="AA108" i="18"/>
  <c r="AR107" i="18"/>
  <c r="AQ107" i="18"/>
  <c r="AP107" i="18"/>
  <c r="AO107" i="18"/>
  <c r="AN107" i="18"/>
  <c r="AM107" i="18"/>
  <c r="AL107" i="18"/>
  <c r="AK107" i="18"/>
  <c r="AJ107" i="18"/>
  <c r="AI107" i="18"/>
  <c r="AH107" i="18"/>
  <c r="AG107" i="18"/>
  <c r="AF107" i="18"/>
  <c r="AE107" i="18"/>
  <c r="AC107" i="18"/>
  <c r="AB107" i="18"/>
  <c r="AA107" i="18"/>
  <c r="AR106" i="18"/>
  <c r="AQ106" i="18"/>
  <c r="AP106" i="18"/>
  <c r="AO106" i="18"/>
  <c r="AN106" i="18"/>
  <c r="AM106" i="18"/>
  <c r="AL106" i="18"/>
  <c r="AK106" i="18"/>
  <c r="AJ106" i="18"/>
  <c r="AI106" i="18"/>
  <c r="AH106" i="18"/>
  <c r="AG106" i="18"/>
  <c r="AF106" i="18"/>
  <c r="AE106" i="18"/>
  <c r="AC106" i="18"/>
  <c r="AB106" i="18"/>
  <c r="AA106" i="18"/>
  <c r="AQ105" i="18"/>
  <c r="AP105" i="18"/>
  <c r="AO105" i="18"/>
  <c r="AN105" i="18"/>
  <c r="AM105" i="18"/>
  <c r="AL105" i="18"/>
  <c r="AK105" i="18"/>
  <c r="AJ105" i="18"/>
  <c r="AI105" i="18"/>
  <c r="AH105" i="18"/>
  <c r="AG105" i="18"/>
  <c r="AF105" i="18"/>
  <c r="AE105" i="18"/>
  <c r="AC105" i="18"/>
  <c r="AB105" i="18"/>
  <c r="AA105" i="18"/>
  <c r="AR104" i="18"/>
  <c r="AQ104" i="18"/>
  <c r="AP104" i="18"/>
  <c r="AO104" i="18"/>
  <c r="AN104" i="18"/>
  <c r="AM104" i="18"/>
  <c r="AL104" i="18"/>
  <c r="AK104" i="18"/>
  <c r="AJ104" i="18"/>
  <c r="AI104" i="18"/>
  <c r="AH104" i="18"/>
  <c r="AG104" i="18"/>
  <c r="AF104" i="18"/>
  <c r="AE104" i="18"/>
  <c r="AC104" i="18"/>
  <c r="AB104" i="18"/>
  <c r="AA104" i="18"/>
  <c r="AR103" i="18"/>
  <c r="AQ103" i="18"/>
  <c r="AP103" i="18"/>
  <c r="AO103" i="18"/>
  <c r="AN103" i="18"/>
  <c r="AM103" i="18"/>
  <c r="AL103" i="18"/>
  <c r="AK103" i="18"/>
  <c r="AJ103" i="18"/>
  <c r="AI103" i="18"/>
  <c r="AH103" i="18"/>
  <c r="AG103" i="18"/>
  <c r="AF103" i="18"/>
  <c r="AE103" i="18"/>
  <c r="AC103" i="18"/>
  <c r="AB103" i="18"/>
  <c r="AA103" i="18"/>
  <c r="AR102" i="18"/>
  <c r="AQ102" i="18"/>
  <c r="AP102" i="18"/>
  <c r="AO102" i="18"/>
  <c r="AN102" i="18"/>
  <c r="AM102" i="18"/>
  <c r="AL102" i="18"/>
  <c r="AK102" i="18"/>
  <c r="AJ102" i="18"/>
  <c r="AI102" i="18"/>
  <c r="AH102" i="18"/>
  <c r="AG102" i="18"/>
  <c r="AF102" i="18"/>
  <c r="AE102" i="18"/>
  <c r="AC102" i="18"/>
  <c r="AB102" i="18"/>
  <c r="AA102" i="18"/>
  <c r="AR101" i="18"/>
  <c r="AQ101" i="18"/>
  <c r="AP101" i="18"/>
  <c r="AO101" i="18"/>
  <c r="AN101" i="18"/>
  <c r="AM101" i="18"/>
  <c r="AL101" i="18"/>
  <c r="AK101" i="18"/>
  <c r="AJ101" i="18"/>
  <c r="AI101" i="18"/>
  <c r="AH101" i="18"/>
  <c r="AG101" i="18"/>
  <c r="AF101" i="18"/>
  <c r="AE101" i="18"/>
  <c r="AC101" i="18"/>
  <c r="AB101" i="18"/>
  <c r="AA101" i="18"/>
  <c r="AQ100" i="18"/>
  <c r="AP100" i="18"/>
  <c r="AO100" i="18"/>
  <c r="AN100" i="18"/>
  <c r="AM100" i="18"/>
  <c r="AL100" i="18"/>
  <c r="AK100" i="18"/>
  <c r="AJ100" i="18"/>
  <c r="AI100" i="18"/>
  <c r="AH100" i="18"/>
  <c r="AG100" i="18"/>
  <c r="AF100" i="18"/>
  <c r="AE100" i="18"/>
  <c r="AC100" i="18"/>
  <c r="AB100" i="18"/>
  <c r="AA100" i="18"/>
  <c r="AQ99" i="18"/>
  <c r="AP99" i="18"/>
  <c r="AO99" i="18"/>
  <c r="AN99" i="18"/>
  <c r="AM99" i="18"/>
  <c r="AL99" i="18"/>
  <c r="AK99" i="18"/>
  <c r="AJ99" i="18"/>
  <c r="AI99" i="18"/>
  <c r="AH99" i="18"/>
  <c r="AG99" i="18"/>
  <c r="AF99" i="18"/>
  <c r="AE99" i="18"/>
  <c r="AC99" i="18"/>
  <c r="AB99" i="18"/>
  <c r="AA99" i="18"/>
  <c r="AQ98" i="18"/>
  <c r="AP98" i="18"/>
  <c r="AO98" i="18"/>
  <c r="AN98" i="18"/>
  <c r="AM98" i="18"/>
  <c r="AL98" i="18"/>
  <c r="AK98" i="18"/>
  <c r="AJ98" i="18"/>
  <c r="AI98" i="18"/>
  <c r="AH98" i="18"/>
  <c r="AG98" i="18"/>
  <c r="AF98" i="18"/>
  <c r="AE98" i="18"/>
  <c r="AC98" i="18"/>
  <c r="AB98" i="18"/>
  <c r="AA98" i="18"/>
  <c r="AR97" i="18"/>
  <c r="AQ97" i="18"/>
  <c r="AP97" i="18"/>
  <c r="AO97" i="18"/>
  <c r="AN97" i="18"/>
  <c r="AM97" i="18"/>
  <c r="AL97" i="18"/>
  <c r="AK97" i="18"/>
  <c r="AJ97" i="18"/>
  <c r="AI97" i="18"/>
  <c r="AH97" i="18"/>
  <c r="AG97" i="18"/>
  <c r="AF97" i="18"/>
  <c r="AE97" i="18"/>
  <c r="AC97" i="18"/>
  <c r="AB97" i="18"/>
  <c r="AA97" i="18"/>
  <c r="AQ96" i="18"/>
  <c r="AP96" i="18"/>
  <c r="AO96" i="18"/>
  <c r="AN96" i="18"/>
  <c r="AM96" i="18"/>
  <c r="AL96" i="18"/>
  <c r="AK96" i="18"/>
  <c r="AJ96" i="18"/>
  <c r="AI96" i="18"/>
  <c r="AH96" i="18"/>
  <c r="AG96" i="18"/>
  <c r="AF96" i="18"/>
  <c r="AE96" i="18"/>
  <c r="AC96" i="18"/>
  <c r="AB96" i="18"/>
  <c r="AA96" i="18"/>
  <c r="AR95" i="18"/>
  <c r="AQ95" i="18"/>
  <c r="AP95" i="18"/>
  <c r="AO95" i="18"/>
  <c r="AN95" i="18"/>
  <c r="AM95" i="18"/>
  <c r="AL95" i="18"/>
  <c r="AK95" i="18"/>
  <c r="AJ95" i="18"/>
  <c r="AI95" i="18"/>
  <c r="AH95" i="18"/>
  <c r="AG95" i="18"/>
  <c r="AF95" i="18"/>
  <c r="AE95" i="18"/>
  <c r="AC95" i="18"/>
  <c r="AB95" i="18"/>
  <c r="AA95" i="18"/>
  <c r="AR94" i="18"/>
  <c r="AQ94" i="18"/>
  <c r="AP94" i="18"/>
  <c r="AO94" i="18"/>
  <c r="AN94" i="18"/>
  <c r="AM94" i="18"/>
  <c r="AL94" i="18"/>
  <c r="AK94" i="18"/>
  <c r="AJ94" i="18"/>
  <c r="AI94" i="18"/>
  <c r="AH94" i="18"/>
  <c r="AG94" i="18"/>
  <c r="AF94" i="18"/>
  <c r="AE94" i="18"/>
  <c r="AC94" i="18"/>
  <c r="AB94" i="18"/>
  <c r="AA94" i="18"/>
  <c r="AR93" i="18"/>
  <c r="AQ93" i="18"/>
  <c r="AP93" i="18"/>
  <c r="AO93" i="18"/>
  <c r="AN93" i="18"/>
  <c r="AM93" i="18"/>
  <c r="AL93" i="18"/>
  <c r="AK93" i="18"/>
  <c r="AJ93" i="18"/>
  <c r="AI93" i="18"/>
  <c r="AH93" i="18"/>
  <c r="AG93" i="18"/>
  <c r="AF93" i="18"/>
  <c r="AE93" i="18"/>
  <c r="AC93" i="18"/>
  <c r="AB93" i="18"/>
  <c r="AA93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AE92" i="18"/>
  <c r="AC92" i="18"/>
  <c r="AB92" i="18"/>
  <c r="AA92" i="18"/>
  <c r="AR91" i="18"/>
  <c r="AQ91" i="18"/>
  <c r="AP91" i="18"/>
  <c r="AO91" i="18"/>
  <c r="AN91" i="18"/>
  <c r="AM91" i="18"/>
  <c r="AL91" i="18"/>
  <c r="AK91" i="18"/>
  <c r="AJ91" i="18"/>
  <c r="AI91" i="18"/>
  <c r="AH91" i="18"/>
  <c r="AG91" i="18"/>
  <c r="AF91" i="18"/>
  <c r="AE91" i="18"/>
  <c r="AC91" i="18"/>
  <c r="AB91" i="18"/>
  <c r="AA91" i="18"/>
  <c r="AR90" i="18"/>
  <c r="AQ90" i="18"/>
  <c r="AP90" i="18"/>
  <c r="AO90" i="18"/>
  <c r="AN90" i="18"/>
  <c r="AM90" i="18"/>
  <c r="AL90" i="18"/>
  <c r="AK90" i="18"/>
  <c r="AJ90" i="18"/>
  <c r="AI90" i="18"/>
  <c r="AH90" i="18"/>
  <c r="AG90" i="18"/>
  <c r="AF90" i="18"/>
  <c r="AE90" i="18"/>
  <c r="AC90" i="18"/>
  <c r="AB90" i="18"/>
  <c r="AA90" i="18"/>
  <c r="AR89" i="18"/>
  <c r="AQ89" i="18"/>
  <c r="AP89" i="18"/>
  <c r="AO89" i="18"/>
  <c r="AN89" i="18"/>
  <c r="AM89" i="18"/>
  <c r="AL89" i="18"/>
  <c r="AK89" i="18"/>
  <c r="AJ89" i="18"/>
  <c r="AI89" i="18"/>
  <c r="AH89" i="18"/>
  <c r="AG89" i="18"/>
  <c r="AF89" i="18"/>
  <c r="AE89" i="18"/>
  <c r="AC89" i="18"/>
  <c r="AB89" i="18"/>
  <c r="AA89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E88" i="18"/>
  <c r="AC88" i="18"/>
  <c r="AB88" i="18"/>
  <c r="AA88" i="18"/>
  <c r="AR87" i="18"/>
  <c r="AQ87" i="18"/>
  <c r="AP87" i="18"/>
  <c r="AO87" i="18"/>
  <c r="AN87" i="18"/>
  <c r="AM87" i="18"/>
  <c r="AL87" i="18"/>
  <c r="AK87" i="18"/>
  <c r="AJ87" i="18"/>
  <c r="AI87" i="18"/>
  <c r="AH87" i="18"/>
  <c r="AG87" i="18"/>
  <c r="AF87" i="18"/>
  <c r="AE87" i="18"/>
  <c r="AC87" i="18"/>
  <c r="AB87" i="18"/>
  <c r="AA87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E86" i="18"/>
  <c r="AC86" i="18"/>
  <c r="AB86" i="18"/>
  <c r="AA86" i="18"/>
  <c r="AR85" i="18"/>
  <c r="AQ85" i="18"/>
  <c r="AP85" i="18"/>
  <c r="AO85" i="18"/>
  <c r="AN85" i="18"/>
  <c r="AM85" i="18"/>
  <c r="AL85" i="18"/>
  <c r="AK85" i="18"/>
  <c r="AJ85" i="18"/>
  <c r="AI85" i="18"/>
  <c r="AH85" i="18"/>
  <c r="AG85" i="18"/>
  <c r="AF85" i="18"/>
  <c r="AE85" i="18"/>
  <c r="AC85" i="18"/>
  <c r="AB85" i="18"/>
  <c r="AA85" i="18"/>
  <c r="P85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C84" i="18"/>
  <c r="AB84" i="18"/>
  <c r="AA84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C83" i="18"/>
  <c r="AB83" i="18"/>
  <c r="AA83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C82" i="18"/>
  <c r="AB82" i="18"/>
  <c r="AA82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AE81" i="18"/>
  <c r="AC81" i="18"/>
  <c r="AB81" i="18"/>
  <c r="AA81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AE80" i="18"/>
  <c r="AC80" i="18"/>
  <c r="AB80" i="18"/>
  <c r="AA80" i="18"/>
  <c r="AR79" i="18"/>
  <c r="AQ79" i="18"/>
  <c r="AP79" i="18"/>
  <c r="AO79" i="18"/>
  <c r="AN79" i="18"/>
  <c r="AM79" i="18"/>
  <c r="AL79" i="18"/>
  <c r="AK79" i="18"/>
  <c r="AJ79" i="18"/>
  <c r="AI79" i="18"/>
  <c r="AH79" i="18"/>
  <c r="AG79" i="18"/>
  <c r="AF79" i="18"/>
  <c r="AE79" i="18"/>
  <c r="AC79" i="18"/>
  <c r="AB79" i="18"/>
  <c r="AA79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AE78" i="18"/>
  <c r="AC78" i="18"/>
  <c r="AB78" i="18"/>
  <c r="AA78" i="18"/>
  <c r="AR76" i="18"/>
  <c r="AQ76" i="18"/>
  <c r="AP76" i="18"/>
  <c r="AO76" i="18"/>
  <c r="AN76" i="18"/>
  <c r="AM76" i="18"/>
  <c r="AL76" i="18"/>
  <c r="AK76" i="18"/>
  <c r="AJ76" i="18"/>
  <c r="AI76" i="18"/>
  <c r="AH76" i="18"/>
  <c r="AG76" i="18"/>
  <c r="AF76" i="18"/>
  <c r="AE76" i="18"/>
  <c r="AC76" i="18"/>
  <c r="AB76" i="18"/>
  <c r="AA76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C75" i="18"/>
  <c r="AB75" i="18"/>
  <c r="AA75" i="18"/>
  <c r="Q75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C74" i="18"/>
  <c r="AB74" i="18"/>
  <c r="AA74" i="18"/>
  <c r="AR73" i="18"/>
  <c r="AQ73" i="18"/>
  <c r="AP73" i="18"/>
  <c r="AO73" i="18"/>
  <c r="AN73" i="18"/>
  <c r="AM73" i="18"/>
  <c r="AL73" i="18"/>
  <c r="AK73" i="18"/>
  <c r="AJ73" i="18"/>
  <c r="AI73" i="18"/>
  <c r="AH73" i="18"/>
  <c r="AG73" i="18"/>
  <c r="AF73" i="18"/>
  <c r="AE73" i="18"/>
  <c r="AC73" i="18"/>
  <c r="AB73" i="18"/>
  <c r="AA73" i="18"/>
  <c r="R73" i="18"/>
  <c r="Q73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C72" i="18"/>
  <c r="AB72" i="18"/>
  <c r="AA72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C71" i="18"/>
  <c r="AB71" i="18"/>
  <c r="AA71" i="18"/>
  <c r="AR70" i="18"/>
  <c r="AQ70" i="18"/>
  <c r="AP70" i="18"/>
  <c r="AO70" i="18"/>
  <c r="AN70" i="18"/>
  <c r="AM70" i="18"/>
  <c r="AL70" i="18"/>
  <c r="AK70" i="18"/>
  <c r="AJ70" i="18"/>
  <c r="AI70" i="18"/>
  <c r="AH70" i="18"/>
  <c r="AG70" i="18"/>
  <c r="AF70" i="18"/>
  <c r="AE70" i="18"/>
  <c r="AC70" i="18"/>
  <c r="AB70" i="18"/>
  <c r="AA70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C69" i="18"/>
  <c r="AB69" i="18"/>
  <c r="AA69" i="18"/>
  <c r="T69" i="18"/>
  <c r="AR68" i="18"/>
  <c r="AQ68" i="18"/>
  <c r="AP68" i="18"/>
  <c r="AO68" i="18"/>
  <c r="AN68" i="18"/>
  <c r="AM68" i="18"/>
  <c r="AL68" i="18"/>
  <c r="AK68" i="18"/>
  <c r="AJ68" i="18"/>
  <c r="AI68" i="18"/>
  <c r="AH68" i="18"/>
  <c r="AG68" i="18"/>
  <c r="AF68" i="18"/>
  <c r="AE68" i="18"/>
  <c r="AC68" i="18"/>
  <c r="AB68" i="18"/>
  <c r="AA68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C67" i="18"/>
  <c r="AB67" i="18"/>
  <c r="AA67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C66" i="18"/>
  <c r="AB66" i="18"/>
  <c r="AA66" i="18"/>
  <c r="AR65" i="18"/>
  <c r="AQ65" i="18"/>
  <c r="AP65" i="18"/>
  <c r="AO65" i="18"/>
  <c r="AN65" i="18"/>
  <c r="AM65" i="18"/>
  <c r="AL65" i="18"/>
  <c r="AK65" i="18"/>
  <c r="AJ65" i="18"/>
  <c r="AI65" i="18"/>
  <c r="AH65" i="18"/>
  <c r="AG65" i="18"/>
  <c r="AF65" i="18"/>
  <c r="AE65" i="18"/>
  <c r="AC65" i="18"/>
  <c r="AB65" i="18"/>
  <c r="AA65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C64" i="18"/>
  <c r="AB64" i="18"/>
  <c r="AA64" i="18"/>
  <c r="AR63" i="18"/>
  <c r="AQ63" i="18"/>
  <c r="AP63" i="18"/>
  <c r="AO63" i="18"/>
  <c r="AN63" i="18"/>
  <c r="AM63" i="18"/>
  <c r="AL63" i="18"/>
  <c r="AK63" i="18"/>
  <c r="AJ63" i="18"/>
  <c r="AI63" i="18"/>
  <c r="AH63" i="18"/>
  <c r="AG63" i="18"/>
  <c r="AF63" i="18"/>
  <c r="AE63" i="18"/>
  <c r="AC63" i="18"/>
  <c r="AB63" i="18"/>
  <c r="AA63" i="18"/>
  <c r="AR62" i="18"/>
  <c r="AQ62" i="18"/>
  <c r="AP62" i="18"/>
  <c r="AO62" i="18"/>
  <c r="AN62" i="18"/>
  <c r="AM62" i="18"/>
  <c r="AL62" i="18"/>
  <c r="AK62" i="18"/>
  <c r="AJ62" i="18"/>
  <c r="AI62" i="18"/>
  <c r="AH62" i="18"/>
  <c r="AG62" i="18"/>
  <c r="AF62" i="18"/>
  <c r="AE62" i="18"/>
  <c r="AC62" i="18"/>
  <c r="AB62" i="18"/>
  <c r="AA62" i="18"/>
  <c r="AR61" i="18"/>
  <c r="AQ61" i="18"/>
  <c r="AP61" i="18"/>
  <c r="AO61" i="18"/>
  <c r="AN61" i="18"/>
  <c r="AM61" i="18"/>
  <c r="AL61" i="18"/>
  <c r="AK61" i="18"/>
  <c r="AJ61" i="18"/>
  <c r="AI61" i="18"/>
  <c r="AH61" i="18"/>
  <c r="AG61" i="18"/>
  <c r="AF61" i="18"/>
  <c r="AE61" i="18"/>
  <c r="AC61" i="18"/>
  <c r="AB61" i="18"/>
  <c r="AA61" i="18"/>
  <c r="AR60" i="18"/>
  <c r="AQ60" i="18"/>
  <c r="AP60" i="18"/>
  <c r="AO60" i="18"/>
  <c r="AN60" i="18"/>
  <c r="AM60" i="18"/>
  <c r="AL60" i="18"/>
  <c r="AK60" i="18"/>
  <c r="AJ60" i="18"/>
  <c r="AI60" i="18"/>
  <c r="AH60" i="18"/>
  <c r="AG60" i="18"/>
  <c r="AF60" i="18"/>
  <c r="AE60" i="18"/>
  <c r="AC60" i="18"/>
  <c r="AB60" i="18"/>
  <c r="AA60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AF59" i="18"/>
  <c r="AE59" i="18"/>
  <c r="AC59" i="18"/>
  <c r="AB59" i="18"/>
  <c r="AA59" i="18"/>
  <c r="AQ58" i="18"/>
  <c r="AP58" i="18"/>
  <c r="AO58" i="18"/>
  <c r="AN58" i="18"/>
  <c r="AM58" i="18"/>
  <c r="AL58" i="18"/>
  <c r="AK58" i="18"/>
  <c r="AJ58" i="18"/>
  <c r="AI58" i="18"/>
  <c r="AH58" i="18"/>
  <c r="AG58" i="18"/>
  <c r="AF58" i="18"/>
  <c r="AE58" i="18"/>
  <c r="AC58" i="18"/>
  <c r="AB58" i="18"/>
  <c r="AA58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C57" i="18"/>
  <c r="AB57" i="18"/>
  <c r="AA57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C56" i="18"/>
  <c r="AB56" i="18"/>
  <c r="AA56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C55" i="18"/>
  <c r="AB55" i="18"/>
  <c r="AA55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C54" i="18"/>
  <c r="AB54" i="18"/>
  <c r="AA54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AC53" i="18"/>
  <c r="AB53" i="18"/>
  <c r="AA53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C52" i="18"/>
  <c r="AB52" i="18"/>
  <c r="AA52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C51" i="18"/>
  <c r="AB51" i="18"/>
  <c r="AA51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C50" i="18"/>
  <c r="AB50" i="18"/>
  <c r="AA50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C49" i="18"/>
  <c r="AB49" i="18"/>
  <c r="AA49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C48" i="18"/>
  <c r="AB48" i="18"/>
  <c r="AA48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AC47" i="18"/>
  <c r="AB47" i="18"/>
  <c r="AA47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C46" i="18"/>
  <c r="AB46" i="18"/>
  <c r="AA46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C45" i="18"/>
  <c r="AB45" i="18"/>
  <c r="AA45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C44" i="18"/>
  <c r="AB44" i="18"/>
  <c r="AA44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C43" i="18"/>
  <c r="AB43" i="18"/>
  <c r="AA43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C42" i="18"/>
  <c r="AB42" i="18"/>
  <c r="AA42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C41" i="18"/>
  <c r="AB41" i="18"/>
  <c r="AA41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C40" i="18"/>
  <c r="AB40" i="18"/>
  <c r="AA40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C39" i="18"/>
  <c r="AB39" i="18"/>
  <c r="AA39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C38" i="18"/>
  <c r="AB38" i="18"/>
  <c r="AA38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C37" i="18"/>
  <c r="AB37" i="18"/>
  <c r="AA37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C36" i="18"/>
  <c r="AB36" i="18"/>
  <c r="AA36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C35" i="18"/>
  <c r="AB35" i="18"/>
  <c r="AA35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C34" i="18"/>
  <c r="AB34" i="18"/>
  <c r="AA34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C33" i="18"/>
  <c r="AB33" i="18"/>
  <c r="AA33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C32" i="18"/>
  <c r="AB32" i="18"/>
  <c r="AA32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C31" i="18"/>
  <c r="AB31" i="18"/>
  <c r="AA31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C30" i="18"/>
  <c r="AB30" i="18"/>
  <c r="AA30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C29" i="18"/>
  <c r="AB29" i="18"/>
  <c r="AA29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C28" i="18"/>
  <c r="AB28" i="18"/>
  <c r="AA28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C27" i="18"/>
  <c r="AB27" i="18"/>
  <c r="AA27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C26" i="18"/>
  <c r="AB26" i="18"/>
  <c r="AA26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C25" i="18"/>
  <c r="AB25" i="18"/>
  <c r="AA25" i="18"/>
  <c r="O25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C24" i="18"/>
  <c r="AB24" i="18"/>
  <c r="AA24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C23" i="18"/>
  <c r="AB23" i="18"/>
  <c r="AA23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C22" i="18"/>
  <c r="AB22" i="18"/>
  <c r="AA22" i="18"/>
  <c r="AC21" i="18"/>
  <c r="AB21" i="18"/>
  <c r="AA21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C20" i="18"/>
  <c r="AB20" i="18"/>
  <c r="AA20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C19" i="18"/>
  <c r="AB19" i="18"/>
  <c r="AA19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C18" i="18"/>
  <c r="AB18" i="18"/>
  <c r="AA18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C17" i="18"/>
  <c r="AB17" i="18"/>
  <c r="AA17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C16" i="18"/>
  <c r="AB16" i="18"/>
  <c r="AA16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C15" i="18"/>
  <c r="AB15" i="18"/>
  <c r="AA15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C14" i="18"/>
  <c r="AB14" i="18"/>
  <c r="AA14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C13" i="18"/>
  <c r="AB13" i="18"/>
  <c r="AA13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C12" i="18"/>
  <c r="AB12" i="18"/>
  <c r="AA12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C10" i="18"/>
  <c r="AB10" i="18"/>
  <c r="AA10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C9" i="18"/>
  <c r="AB9" i="18"/>
  <c r="AA9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C8" i="18"/>
  <c r="AB8" i="18"/>
  <c r="AA8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C7" i="18"/>
  <c r="AB7" i="18"/>
  <c r="AA7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C6" i="18"/>
  <c r="AB6" i="18"/>
  <c r="AA6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C5" i="18"/>
  <c r="AB5" i="18"/>
  <c r="AA5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C4" i="18"/>
  <c r="AB4" i="18"/>
  <c r="AA4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C3" i="18"/>
  <c r="AB3" i="18"/>
  <c r="AA3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C2" i="18"/>
  <c r="AB2" i="18"/>
  <c r="AA2" i="18"/>
  <c r="R122" i="20"/>
  <c r="Q122" i="20"/>
  <c r="P122" i="20"/>
  <c r="O122" i="20"/>
  <c r="N122" i="20"/>
  <c r="M122" i="20"/>
  <c r="L122" i="20"/>
  <c r="K122" i="20"/>
  <c r="J122" i="20"/>
  <c r="I122" i="20"/>
  <c r="H122" i="20"/>
  <c r="G122" i="20"/>
  <c r="F122" i="20"/>
  <c r="R121" i="20"/>
  <c r="N121" i="20"/>
  <c r="M121" i="20"/>
  <c r="L121" i="20"/>
  <c r="K121" i="20"/>
  <c r="J121" i="20"/>
  <c r="I121" i="20"/>
  <c r="H121" i="20"/>
  <c r="G121" i="20"/>
  <c r="F121" i="20"/>
  <c r="R120" i="20"/>
  <c r="Q120" i="20"/>
  <c r="P120" i="20"/>
  <c r="O120" i="20"/>
  <c r="N120" i="20"/>
  <c r="M120" i="20"/>
  <c r="R119" i="20"/>
  <c r="R117" i="20"/>
  <c r="Q117" i="20"/>
  <c r="P117" i="20"/>
  <c r="O117" i="20"/>
  <c r="N117" i="20"/>
  <c r="M117" i="20"/>
  <c r="L117" i="20"/>
  <c r="K117" i="20"/>
  <c r="J117" i="20"/>
  <c r="I117" i="20"/>
  <c r="H117" i="20"/>
  <c r="G117" i="20"/>
  <c r="F117" i="20"/>
  <c r="R116" i="20"/>
  <c r="R114" i="20"/>
  <c r="Q114" i="20"/>
  <c r="P114" i="20"/>
  <c r="O114" i="20"/>
  <c r="N114" i="20"/>
  <c r="M114" i="20"/>
  <c r="L114" i="20"/>
  <c r="K114" i="20"/>
  <c r="J114" i="20"/>
  <c r="I114" i="20"/>
  <c r="H114" i="20"/>
  <c r="G114" i="20"/>
  <c r="F114" i="20"/>
  <c r="R113" i="20"/>
  <c r="Q113" i="20"/>
  <c r="P113" i="20"/>
  <c r="O113" i="20"/>
  <c r="N113" i="20"/>
  <c r="M113" i="20"/>
  <c r="L113" i="20"/>
  <c r="K113" i="20"/>
  <c r="J113" i="20"/>
  <c r="I113" i="20"/>
  <c r="H113" i="20"/>
  <c r="R112" i="20"/>
  <c r="Q112" i="20"/>
  <c r="P112" i="20"/>
  <c r="O112" i="20"/>
  <c r="N112" i="20"/>
  <c r="M112" i="20"/>
  <c r="L112" i="20"/>
  <c r="K112" i="20"/>
  <c r="J112" i="20"/>
  <c r="I112" i="20"/>
  <c r="H112" i="20"/>
  <c r="R111" i="20"/>
  <c r="Q111" i="20"/>
  <c r="P111" i="20"/>
  <c r="O111" i="20"/>
  <c r="N111" i="20"/>
  <c r="M111" i="20"/>
  <c r="L111" i="20"/>
  <c r="K111" i="20"/>
  <c r="J111" i="20"/>
  <c r="I111" i="20"/>
  <c r="H111" i="20"/>
  <c r="G111" i="20"/>
  <c r="F111" i="20"/>
  <c r="R110" i="20"/>
  <c r="Q110" i="20"/>
  <c r="P110" i="20"/>
  <c r="O110" i="20"/>
  <c r="N110" i="20"/>
  <c r="M110" i="20"/>
  <c r="L110" i="20"/>
  <c r="K110" i="20"/>
  <c r="J110" i="20"/>
  <c r="I110" i="20"/>
  <c r="H110" i="20"/>
  <c r="G110" i="20"/>
  <c r="F110" i="20"/>
  <c r="R109" i="20"/>
  <c r="Q109" i="20"/>
  <c r="P109" i="20"/>
  <c r="O109" i="20"/>
  <c r="N109" i="20"/>
  <c r="M109" i="20"/>
  <c r="L109" i="20"/>
  <c r="K109" i="20"/>
  <c r="J109" i="20"/>
  <c r="I109" i="20"/>
  <c r="H109" i="20"/>
  <c r="G109" i="20"/>
  <c r="F109" i="20"/>
  <c r="R108" i="20"/>
  <c r="Q108" i="20"/>
  <c r="P108" i="20"/>
  <c r="O108" i="20"/>
  <c r="N108" i="20"/>
  <c r="M108" i="20"/>
  <c r="L108" i="20"/>
  <c r="K108" i="20"/>
  <c r="J108" i="20"/>
  <c r="I108" i="20"/>
  <c r="H108" i="20"/>
  <c r="G108" i="20"/>
  <c r="F108" i="20"/>
  <c r="R107" i="20"/>
  <c r="Q107" i="20"/>
  <c r="P107" i="20"/>
  <c r="O107" i="20"/>
  <c r="N107" i="20"/>
  <c r="M107" i="20"/>
  <c r="L107" i="20"/>
  <c r="K107" i="20"/>
  <c r="J107" i="20"/>
  <c r="I107" i="20"/>
  <c r="H107" i="20"/>
  <c r="G107" i="20"/>
  <c r="F107" i="20"/>
  <c r="R106" i="20"/>
  <c r="Q106" i="20"/>
  <c r="P106" i="20"/>
  <c r="O106" i="20"/>
  <c r="N106" i="20"/>
  <c r="M106" i="20"/>
  <c r="L106" i="20"/>
  <c r="K106" i="20"/>
  <c r="J106" i="20"/>
  <c r="I106" i="20"/>
  <c r="H106" i="20"/>
  <c r="G106" i="20"/>
  <c r="F106" i="20"/>
  <c r="AH105" i="20"/>
  <c r="AG105" i="20"/>
  <c r="AF105" i="20"/>
  <c r="AE105" i="20"/>
  <c r="AD105" i="20"/>
  <c r="AC105" i="20"/>
  <c r="AB105" i="20"/>
  <c r="AA105" i="20"/>
  <c r="Z105" i="20"/>
  <c r="Y105" i="20"/>
  <c r="X105" i="20"/>
  <c r="W105" i="20"/>
  <c r="V105" i="20"/>
  <c r="T105" i="20"/>
  <c r="R105" i="20"/>
  <c r="Q105" i="20"/>
  <c r="P105" i="20"/>
  <c r="O105" i="20"/>
  <c r="N105" i="20"/>
  <c r="M105" i="20"/>
  <c r="L105" i="20"/>
  <c r="K105" i="20"/>
  <c r="J105" i="20"/>
  <c r="I105" i="20"/>
  <c r="H105" i="20"/>
  <c r="G105" i="20"/>
  <c r="F105" i="20"/>
  <c r="AI104" i="20"/>
  <c r="AH104" i="20"/>
  <c r="AG104" i="20"/>
  <c r="AF104" i="20"/>
  <c r="AE104" i="20"/>
  <c r="AD104" i="20"/>
  <c r="AC104" i="20"/>
  <c r="AB104" i="20"/>
  <c r="AA104" i="20"/>
  <c r="Z104" i="20"/>
  <c r="Y104" i="20"/>
  <c r="X104" i="20"/>
  <c r="W104" i="20"/>
  <c r="V104" i="20"/>
  <c r="T104" i="20"/>
  <c r="S104" i="20"/>
  <c r="R104" i="20"/>
  <c r="AI103" i="20"/>
  <c r="AH103" i="20"/>
  <c r="AG103" i="20"/>
  <c r="AF103" i="20"/>
  <c r="AE103" i="20"/>
  <c r="AD103" i="20"/>
  <c r="AC103" i="20"/>
  <c r="AB103" i="20"/>
  <c r="AA103" i="20"/>
  <c r="Z103" i="20"/>
  <c r="Y103" i="20"/>
  <c r="X103" i="20"/>
  <c r="W103" i="20"/>
  <c r="V103" i="20"/>
  <c r="T103" i="20"/>
  <c r="S103" i="20"/>
  <c r="R103" i="20"/>
  <c r="AI102" i="20"/>
  <c r="AH102" i="20"/>
  <c r="AG102" i="20"/>
  <c r="AF102" i="20"/>
  <c r="AE102" i="20"/>
  <c r="AD102" i="20"/>
  <c r="AC102" i="20"/>
  <c r="AB102" i="20"/>
  <c r="AA102" i="20"/>
  <c r="Z102" i="20"/>
  <c r="Y102" i="20"/>
  <c r="X102" i="20"/>
  <c r="W102" i="20"/>
  <c r="V102" i="20"/>
  <c r="T102" i="20"/>
  <c r="S102" i="20"/>
  <c r="R102" i="20"/>
  <c r="AI101" i="20"/>
  <c r="AH101" i="20"/>
  <c r="AG101" i="20"/>
  <c r="AF101" i="20"/>
  <c r="AE101" i="20"/>
  <c r="AD101" i="20"/>
  <c r="AC101" i="20"/>
  <c r="AB101" i="20"/>
  <c r="AA101" i="20"/>
  <c r="Z101" i="20"/>
  <c r="Y101" i="20"/>
  <c r="X101" i="20"/>
  <c r="W101" i="20"/>
  <c r="V101" i="20"/>
  <c r="T101" i="20"/>
  <c r="S101" i="20"/>
  <c r="R101" i="20"/>
  <c r="AI100" i="20"/>
  <c r="AH100" i="20"/>
  <c r="AG100" i="20"/>
  <c r="AF100" i="20"/>
  <c r="AE100" i="20"/>
  <c r="AD100" i="20"/>
  <c r="AC100" i="20"/>
  <c r="AB100" i="20"/>
  <c r="AA100" i="20"/>
  <c r="Z100" i="20"/>
  <c r="Y100" i="20"/>
  <c r="X100" i="20"/>
  <c r="W100" i="20"/>
  <c r="V100" i="20"/>
  <c r="T100" i="20"/>
  <c r="S100" i="20"/>
  <c r="R100" i="20"/>
  <c r="AI99" i="20"/>
  <c r="AH99" i="20"/>
  <c r="AG99" i="20"/>
  <c r="AF99" i="20"/>
  <c r="AE99" i="20"/>
  <c r="AD99" i="20"/>
  <c r="AC99" i="20"/>
  <c r="AB99" i="20"/>
  <c r="AA99" i="20"/>
  <c r="Z99" i="20"/>
  <c r="Y99" i="20"/>
  <c r="X99" i="20"/>
  <c r="W99" i="20"/>
  <c r="V99" i="20"/>
  <c r="T99" i="20"/>
  <c r="S99" i="20"/>
  <c r="R99" i="20"/>
  <c r="AI98" i="20"/>
  <c r="AH98" i="20"/>
  <c r="AG98" i="20"/>
  <c r="AF98" i="20"/>
  <c r="AE98" i="20"/>
  <c r="AD98" i="20"/>
  <c r="AC98" i="20"/>
  <c r="AB98" i="20"/>
  <c r="AA98" i="20"/>
  <c r="Z98" i="20"/>
  <c r="Y98" i="20"/>
  <c r="X98" i="20"/>
  <c r="W98" i="20"/>
  <c r="V98" i="20"/>
  <c r="T98" i="20"/>
  <c r="S98" i="20"/>
  <c r="R98" i="20"/>
  <c r="AI97" i="20"/>
  <c r="AH97" i="20"/>
  <c r="AG97" i="20"/>
  <c r="AF97" i="20"/>
  <c r="AE97" i="20"/>
  <c r="AD97" i="20"/>
  <c r="AC97" i="20"/>
  <c r="AB97" i="20"/>
  <c r="AA97" i="20"/>
  <c r="Z97" i="20"/>
  <c r="Y97" i="20"/>
  <c r="X97" i="20"/>
  <c r="W97" i="20"/>
  <c r="V97" i="20"/>
  <c r="T97" i="20"/>
  <c r="S97" i="20"/>
  <c r="R97" i="20"/>
  <c r="AI96" i="20"/>
  <c r="AH96" i="20"/>
  <c r="AG96" i="20"/>
  <c r="AF96" i="20"/>
  <c r="AE96" i="20"/>
  <c r="AD96" i="20"/>
  <c r="AC96" i="20"/>
  <c r="AB96" i="20"/>
  <c r="AA96" i="20"/>
  <c r="Z96" i="20"/>
  <c r="Y96" i="20"/>
  <c r="X96" i="20"/>
  <c r="W96" i="20"/>
  <c r="V96" i="20"/>
  <c r="T96" i="20"/>
  <c r="S96" i="20"/>
  <c r="R96" i="20"/>
  <c r="AI95" i="20"/>
  <c r="AH95" i="20"/>
  <c r="AG95" i="20"/>
  <c r="AF95" i="20"/>
  <c r="AE95" i="20"/>
  <c r="AD95" i="20"/>
  <c r="AC95" i="20"/>
  <c r="AB95" i="20"/>
  <c r="AA95" i="20"/>
  <c r="Z95" i="20"/>
  <c r="Y95" i="20"/>
  <c r="X95" i="20"/>
  <c r="W95" i="20"/>
  <c r="V95" i="20"/>
  <c r="T95" i="20"/>
  <c r="S95" i="20"/>
  <c r="R95" i="20"/>
  <c r="AI94" i="20"/>
  <c r="AH94" i="20"/>
  <c r="AG94" i="20"/>
  <c r="AF94" i="20"/>
  <c r="AE94" i="20"/>
  <c r="AD94" i="20"/>
  <c r="AC94" i="20"/>
  <c r="AB94" i="20"/>
  <c r="AA94" i="20"/>
  <c r="Z94" i="20"/>
  <c r="Y94" i="20"/>
  <c r="X94" i="20"/>
  <c r="W94" i="20"/>
  <c r="V94" i="20"/>
  <c r="T94" i="20"/>
  <c r="S94" i="20"/>
  <c r="R94" i="20"/>
  <c r="AI93" i="20"/>
  <c r="AH93" i="20"/>
  <c r="AG93" i="20"/>
  <c r="AF93" i="20"/>
  <c r="AE93" i="20"/>
  <c r="AD93" i="20"/>
  <c r="AC93" i="20"/>
  <c r="AB93" i="20"/>
  <c r="AA93" i="20"/>
  <c r="Z93" i="20"/>
  <c r="Y93" i="20"/>
  <c r="X93" i="20"/>
  <c r="W93" i="20"/>
  <c r="V93" i="20"/>
  <c r="T93" i="20"/>
  <c r="S93" i="20"/>
  <c r="R93" i="20"/>
  <c r="AI92" i="20"/>
  <c r="AH92" i="20"/>
  <c r="AG92" i="20"/>
  <c r="AF92" i="20"/>
  <c r="AE92" i="20"/>
  <c r="AD92" i="20"/>
  <c r="AC92" i="20"/>
  <c r="AB92" i="20"/>
  <c r="AA92" i="20"/>
  <c r="Z92" i="20"/>
  <c r="Y92" i="20"/>
  <c r="X92" i="20"/>
  <c r="W92" i="20"/>
  <c r="V92" i="20"/>
  <c r="T92" i="20"/>
  <c r="S92" i="20"/>
  <c r="R92" i="20"/>
  <c r="AI91" i="20"/>
  <c r="AH91" i="20"/>
  <c r="AG91" i="20"/>
  <c r="AF91" i="20"/>
  <c r="AE91" i="20"/>
  <c r="AD91" i="20"/>
  <c r="AC91" i="20"/>
  <c r="AB91" i="20"/>
  <c r="AA91" i="20"/>
  <c r="Z91" i="20"/>
  <c r="Y91" i="20"/>
  <c r="X91" i="20"/>
  <c r="W91" i="20"/>
  <c r="V91" i="20"/>
  <c r="T91" i="20"/>
  <c r="S91" i="20"/>
  <c r="R91" i="20"/>
  <c r="AI90" i="20"/>
  <c r="AH90" i="20"/>
  <c r="AG90" i="20"/>
  <c r="AF90" i="20"/>
  <c r="AE90" i="20"/>
  <c r="AD90" i="20"/>
  <c r="AC90" i="20"/>
  <c r="AB90" i="20"/>
  <c r="AA90" i="20"/>
  <c r="Z90" i="20"/>
  <c r="Y90" i="20"/>
  <c r="X90" i="20"/>
  <c r="W90" i="20"/>
  <c r="V90" i="20"/>
  <c r="T90" i="20"/>
  <c r="S90" i="20"/>
  <c r="R90" i="20"/>
  <c r="AI89" i="20"/>
  <c r="AH89" i="20"/>
  <c r="AG89" i="20"/>
  <c r="AF89" i="20"/>
  <c r="AE89" i="20"/>
  <c r="AD89" i="20"/>
  <c r="AC89" i="20"/>
  <c r="AB89" i="20"/>
  <c r="AA89" i="20"/>
  <c r="Z89" i="20"/>
  <c r="Y89" i="20"/>
  <c r="X89" i="20"/>
  <c r="W89" i="20"/>
  <c r="V89" i="20"/>
  <c r="T89" i="20"/>
  <c r="S89" i="20"/>
  <c r="R89" i="20"/>
  <c r="AI88" i="20"/>
  <c r="AH88" i="20"/>
  <c r="AG88" i="20"/>
  <c r="AF88" i="20"/>
  <c r="AE88" i="20"/>
  <c r="AD88" i="20"/>
  <c r="AC88" i="20"/>
  <c r="AB88" i="20"/>
  <c r="AA88" i="20"/>
  <c r="Z88" i="20"/>
  <c r="Y88" i="20"/>
  <c r="X88" i="20"/>
  <c r="W88" i="20"/>
  <c r="V88" i="20"/>
  <c r="T88" i="20"/>
  <c r="S88" i="20"/>
  <c r="R88" i="20"/>
  <c r="AI87" i="20"/>
  <c r="AH87" i="20"/>
  <c r="AG87" i="20"/>
  <c r="AF87" i="20"/>
  <c r="AE87" i="20"/>
  <c r="AD87" i="20"/>
  <c r="AC87" i="20"/>
  <c r="AB87" i="20"/>
  <c r="AA87" i="20"/>
  <c r="Z87" i="20"/>
  <c r="Y87" i="20"/>
  <c r="X87" i="20"/>
  <c r="W87" i="20"/>
  <c r="V87" i="20"/>
  <c r="T87" i="20"/>
  <c r="S87" i="20"/>
  <c r="R87" i="20"/>
  <c r="AI86" i="20"/>
  <c r="AH86" i="20"/>
  <c r="AG86" i="20"/>
  <c r="AF86" i="20"/>
  <c r="AE86" i="20"/>
  <c r="AD86" i="20"/>
  <c r="AC86" i="20"/>
  <c r="AB86" i="20"/>
  <c r="AA86" i="20"/>
  <c r="Z86" i="20"/>
  <c r="Y86" i="20"/>
  <c r="X86" i="20"/>
  <c r="W86" i="20"/>
  <c r="V86" i="20"/>
  <c r="T86" i="20"/>
  <c r="S86" i="20"/>
  <c r="R86" i="20"/>
  <c r="AI85" i="20"/>
  <c r="AH85" i="20"/>
  <c r="AG85" i="20"/>
  <c r="AF85" i="20"/>
  <c r="AE85" i="20"/>
  <c r="AD85" i="20"/>
  <c r="AC85" i="20"/>
  <c r="AB85" i="20"/>
  <c r="AA85" i="20"/>
  <c r="Z85" i="20"/>
  <c r="Y85" i="20"/>
  <c r="X85" i="20"/>
  <c r="W85" i="20"/>
  <c r="V85" i="20"/>
  <c r="T85" i="20"/>
  <c r="S85" i="20"/>
  <c r="R85" i="20"/>
  <c r="AI84" i="20"/>
  <c r="AH84" i="20"/>
  <c r="AG84" i="20"/>
  <c r="AF84" i="20"/>
  <c r="AE84" i="20"/>
  <c r="AD84" i="20"/>
  <c r="AC84" i="20"/>
  <c r="AB84" i="20"/>
  <c r="AA84" i="20"/>
  <c r="Z84" i="20"/>
  <c r="Y84" i="20"/>
  <c r="X84" i="20"/>
  <c r="W84" i="20"/>
  <c r="V84" i="20"/>
  <c r="T84" i="20"/>
  <c r="S84" i="20"/>
  <c r="R84" i="20"/>
  <c r="AI83" i="20"/>
  <c r="AH83" i="20"/>
  <c r="AG83" i="20"/>
  <c r="AF83" i="20"/>
  <c r="AE83" i="20"/>
  <c r="AD83" i="20"/>
  <c r="AC83" i="20"/>
  <c r="AB83" i="20"/>
  <c r="AA83" i="20"/>
  <c r="Z83" i="20"/>
  <c r="Y83" i="20"/>
  <c r="X83" i="20"/>
  <c r="W83" i="20"/>
  <c r="V83" i="20"/>
  <c r="T83" i="20"/>
  <c r="S83" i="20"/>
  <c r="R83" i="20"/>
  <c r="AI82" i="20"/>
  <c r="AH82" i="20"/>
  <c r="AG82" i="20"/>
  <c r="AF82" i="20"/>
  <c r="AE82" i="20"/>
  <c r="AD82" i="20"/>
  <c r="AC82" i="20"/>
  <c r="AB82" i="20"/>
  <c r="AA82" i="20"/>
  <c r="Z82" i="20"/>
  <c r="Y82" i="20"/>
  <c r="X82" i="20"/>
  <c r="W82" i="20"/>
  <c r="V82" i="20"/>
  <c r="T82" i="20"/>
  <c r="S82" i="20"/>
  <c r="R82" i="20"/>
  <c r="AI81" i="20"/>
  <c r="AH81" i="20"/>
  <c r="AG81" i="20"/>
  <c r="AF81" i="20"/>
  <c r="AE81" i="20"/>
  <c r="AD81" i="20"/>
  <c r="AC81" i="20"/>
  <c r="AB81" i="20"/>
  <c r="AA81" i="20"/>
  <c r="Z81" i="20"/>
  <c r="Y81" i="20"/>
  <c r="X81" i="20"/>
  <c r="W81" i="20"/>
  <c r="V81" i="20"/>
  <c r="T81" i="20"/>
  <c r="S81" i="20"/>
  <c r="R81" i="20"/>
  <c r="AI80" i="20"/>
  <c r="AH80" i="20"/>
  <c r="AG80" i="20"/>
  <c r="AF80" i="20"/>
  <c r="AE80" i="20"/>
  <c r="AD80" i="20"/>
  <c r="AC80" i="20"/>
  <c r="AB80" i="20"/>
  <c r="AA80" i="20"/>
  <c r="Z80" i="20"/>
  <c r="Y80" i="20"/>
  <c r="X80" i="20"/>
  <c r="W80" i="20"/>
  <c r="V80" i="20"/>
  <c r="T80" i="20"/>
  <c r="S80" i="20"/>
  <c r="R80" i="20"/>
  <c r="AI79" i="20"/>
  <c r="AH79" i="20"/>
  <c r="AG79" i="20"/>
  <c r="AF79" i="20"/>
  <c r="AE79" i="20"/>
  <c r="AD79" i="20"/>
  <c r="AC79" i="20"/>
  <c r="AB79" i="20"/>
  <c r="AA79" i="20"/>
  <c r="Z79" i="20"/>
  <c r="Y79" i="20"/>
  <c r="X79" i="20"/>
  <c r="W79" i="20"/>
  <c r="V79" i="20"/>
  <c r="T79" i="20"/>
  <c r="S79" i="20"/>
  <c r="R79" i="20"/>
  <c r="AI78" i="20"/>
  <c r="AH78" i="20"/>
  <c r="AG78" i="20"/>
  <c r="AF78" i="20"/>
  <c r="AE78" i="20"/>
  <c r="AD78" i="20"/>
  <c r="AC78" i="20"/>
  <c r="AB78" i="20"/>
  <c r="AA78" i="20"/>
  <c r="Z78" i="20"/>
  <c r="Y78" i="20"/>
  <c r="X78" i="20"/>
  <c r="W78" i="20"/>
  <c r="V78" i="20"/>
  <c r="T78" i="20"/>
  <c r="S78" i="20"/>
  <c r="R78" i="20"/>
  <c r="AI77" i="20"/>
  <c r="AH77" i="20"/>
  <c r="AG77" i="20"/>
  <c r="AF77" i="20"/>
  <c r="AE77" i="20"/>
  <c r="AD77" i="20"/>
  <c r="AC77" i="20"/>
  <c r="AB77" i="20"/>
  <c r="AA77" i="20"/>
  <c r="Z77" i="20"/>
  <c r="Y77" i="20"/>
  <c r="X77" i="20"/>
  <c r="W77" i="20"/>
  <c r="V77" i="20"/>
  <c r="T77" i="20"/>
  <c r="S77" i="20"/>
  <c r="R77" i="20"/>
  <c r="AI76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T76" i="20"/>
  <c r="S76" i="20"/>
  <c r="R76" i="20"/>
  <c r="AI75" i="20"/>
  <c r="AH75" i="20"/>
  <c r="AG75" i="20"/>
  <c r="AF75" i="20"/>
  <c r="AE75" i="20"/>
  <c r="AD75" i="20"/>
  <c r="AC75" i="20"/>
  <c r="AB75" i="20"/>
  <c r="AA75" i="20"/>
  <c r="Z75" i="20"/>
  <c r="Y75" i="20"/>
  <c r="X75" i="20"/>
  <c r="W75" i="20"/>
  <c r="V75" i="20"/>
  <c r="T75" i="20"/>
  <c r="S75" i="20"/>
  <c r="R75" i="20"/>
  <c r="AI74" i="20"/>
  <c r="AH74" i="20"/>
  <c r="AG74" i="20"/>
  <c r="AF74" i="20"/>
  <c r="AE74" i="20"/>
  <c r="AD74" i="20"/>
  <c r="AC74" i="20"/>
  <c r="AB74" i="20"/>
  <c r="AA74" i="20"/>
  <c r="Z74" i="20"/>
  <c r="Y74" i="20"/>
  <c r="X74" i="20"/>
  <c r="W74" i="20"/>
  <c r="V74" i="20"/>
  <c r="T74" i="20"/>
  <c r="R74" i="20"/>
  <c r="AI73" i="20"/>
  <c r="AH73" i="20"/>
  <c r="AG73" i="20"/>
  <c r="AF73" i="20"/>
  <c r="AE73" i="20"/>
  <c r="AD73" i="20"/>
  <c r="AC73" i="20"/>
  <c r="AB73" i="20"/>
  <c r="AA73" i="20"/>
  <c r="Z73" i="20"/>
  <c r="Y73" i="20"/>
  <c r="X73" i="20"/>
  <c r="W73" i="20"/>
  <c r="V73" i="20"/>
  <c r="T73" i="20"/>
  <c r="S73" i="20"/>
  <c r="R73" i="20"/>
  <c r="AI72" i="20"/>
  <c r="AH72" i="20"/>
  <c r="AG72" i="20"/>
  <c r="AF72" i="20"/>
  <c r="AE72" i="20"/>
  <c r="AD72" i="20"/>
  <c r="AC72" i="20"/>
  <c r="AB72" i="20"/>
  <c r="AA72" i="20"/>
  <c r="Z72" i="20"/>
  <c r="Y72" i="20"/>
  <c r="X72" i="20"/>
  <c r="W72" i="20"/>
  <c r="V72" i="20"/>
  <c r="T72" i="20"/>
  <c r="S72" i="20"/>
  <c r="R72" i="20"/>
  <c r="AI71" i="20"/>
  <c r="AH71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T71" i="20"/>
  <c r="S71" i="20"/>
  <c r="R71" i="20"/>
  <c r="AI70" i="20"/>
  <c r="AH70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T70" i="20"/>
  <c r="S70" i="20"/>
  <c r="R70" i="20"/>
  <c r="AI69" i="20"/>
  <c r="AH69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T69" i="20"/>
  <c r="S69" i="20"/>
  <c r="R69" i="20"/>
  <c r="AI68" i="20"/>
  <c r="AH68" i="20"/>
  <c r="AG68" i="20"/>
  <c r="AF68" i="20"/>
  <c r="AE68" i="20"/>
  <c r="AD68" i="20"/>
  <c r="AC68" i="20"/>
  <c r="AB68" i="20"/>
  <c r="AA68" i="20"/>
  <c r="Z68" i="20"/>
  <c r="Y68" i="20"/>
  <c r="X68" i="20"/>
  <c r="W68" i="20"/>
  <c r="V68" i="20"/>
  <c r="T68" i="20"/>
  <c r="S68" i="20"/>
  <c r="R68" i="20"/>
  <c r="AI67" i="20"/>
  <c r="AH67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T67" i="20"/>
  <c r="S67" i="20"/>
  <c r="R67" i="20"/>
  <c r="AI66" i="20"/>
  <c r="AH66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T66" i="20"/>
  <c r="S66" i="20"/>
  <c r="R66" i="20"/>
  <c r="AI65" i="20"/>
  <c r="AH65" i="20"/>
  <c r="AG65" i="20"/>
  <c r="AF65" i="20"/>
  <c r="AE65" i="20"/>
  <c r="AD65" i="20"/>
  <c r="AC65" i="20"/>
  <c r="AB65" i="20"/>
  <c r="AA65" i="20"/>
  <c r="Z65" i="20"/>
  <c r="Y65" i="20"/>
  <c r="X65" i="20"/>
  <c r="W65" i="20"/>
  <c r="V65" i="20"/>
  <c r="T65" i="20"/>
  <c r="S65" i="20"/>
  <c r="R65" i="20"/>
  <c r="AI64" i="20"/>
  <c r="AH64" i="20"/>
  <c r="AG64" i="20"/>
  <c r="AF64" i="20"/>
  <c r="AE64" i="20"/>
  <c r="AD64" i="20"/>
  <c r="AC64" i="20"/>
  <c r="AB64" i="20"/>
  <c r="AA64" i="20"/>
  <c r="Z64" i="20"/>
  <c r="Y64" i="20"/>
  <c r="X64" i="20"/>
  <c r="W64" i="20"/>
  <c r="V64" i="20"/>
  <c r="T64" i="20"/>
  <c r="S64" i="20"/>
  <c r="R64" i="20"/>
  <c r="AI63" i="20"/>
  <c r="AH63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T63" i="20"/>
  <c r="S63" i="20"/>
  <c r="R63" i="20"/>
  <c r="AI62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T62" i="20"/>
  <c r="S62" i="20"/>
  <c r="R62" i="20"/>
  <c r="AI61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T61" i="20"/>
  <c r="S61" i="20"/>
  <c r="R61" i="20"/>
  <c r="AI60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T60" i="20"/>
  <c r="S60" i="20"/>
  <c r="R60" i="20"/>
  <c r="AI59" i="20"/>
  <c r="AH59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T59" i="20"/>
  <c r="S59" i="20"/>
  <c r="R59" i="20"/>
  <c r="AI58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T58" i="20"/>
  <c r="S58" i="20"/>
  <c r="R58" i="20"/>
  <c r="AI57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T57" i="20"/>
  <c r="S57" i="20"/>
  <c r="R57" i="20"/>
  <c r="AI56" i="20"/>
  <c r="AH56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T56" i="20"/>
  <c r="S56" i="20"/>
  <c r="R56" i="20"/>
  <c r="AI55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T55" i="20"/>
  <c r="S55" i="20"/>
  <c r="R55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T54" i="20"/>
  <c r="S54" i="20"/>
  <c r="R54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T53" i="20"/>
  <c r="S53" i="20"/>
  <c r="R53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T52" i="20"/>
  <c r="S52" i="20"/>
  <c r="R52" i="20"/>
  <c r="AI51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T51" i="20"/>
  <c r="S51" i="20"/>
  <c r="R51" i="20"/>
  <c r="AI50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T50" i="20"/>
  <c r="S50" i="20"/>
  <c r="R50" i="20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T49" i="20"/>
  <c r="S49" i="20"/>
  <c r="R49" i="20"/>
  <c r="H49" i="20"/>
  <c r="AI48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T48" i="20"/>
  <c r="S48" i="20"/>
  <c r="R48" i="20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T47" i="20"/>
  <c r="S47" i="20"/>
  <c r="R47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T46" i="20"/>
  <c r="S46" i="20"/>
  <c r="R46" i="20"/>
  <c r="AI45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T45" i="20"/>
  <c r="S45" i="20"/>
  <c r="R45" i="20"/>
  <c r="AI44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T44" i="20"/>
  <c r="S44" i="20"/>
  <c r="R44" i="20"/>
  <c r="AI43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T43" i="20"/>
  <c r="S43" i="20"/>
  <c r="R43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T42" i="20"/>
  <c r="S42" i="20"/>
  <c r="R42" i="20"/>
  <c r="L42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T41" i="20"/>
  <c r="S41" i="20"/>
  <c r="R41" i="20"/>
  <c r="AI40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T40" i="20"/>
  <c r="S40" i="20"/>
  <c r="R40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T39" i="20"/>
  <c r="S39" i="20"/>
  <c r="R39" i="20"/>
  <c r="N39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T38" i="20"/>
  <c r="S38" i="20"/>
  <c r="R38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T37" i="20"/>
  <c r="S37" i="20"/>
  <c r="R37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T36" i="20"/>
  <c r="S36" i="20"/>
  <c r="R36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T35" i="20"/>
  <c r="S35" i="20"/>
  <c r="R35" i="20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T34" i="20"/>
  <c r="S34" i="20"/>
  <c r="R34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T33" i="20"/>
  <c r="S33" i="20"/>
  <c r="R33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T32" i="20"/>
  <c r="S32" i="20"/>
  <c r="R32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T31" i="20"/>
  <c r="S31" i="20"/>
  <c r="R31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T30" i="20"/>
  <c r="S30" i="20"/>
  <c r="R30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T29" i="20"/>
  <c r="S29" i="20"/>
  <c r="R29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T28" i="20"/>
  <c r="S28" i="20"/>
  <c r="R28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T27" i="20"/>
  <c r="S27" i="20"/>
  <c r="R27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T26" i="20"/>
  <c r="S26" i="20"/>
  <c r="R26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T25" i="20"/>
  <c r="S25" i="20"/>
  <c r="R25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T24" i="20"/>
  <c r="S24" i="20"/>
  <c r="R24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T23" i="20"/>
  <c r="S23" i="20"/>
  <c r="R23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T22" i="20"/>
  <c r="S22" i="20"/>
  <c r="R22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T21" i="20"/>
  <c r="S21" i="20"/>
  <c r="R21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T20" i="20"/>
  <c r="S20" i="20"/>
  <c r="R20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T19" i="20"/>
  <c r="S19" i="20"/>
  <c r="R19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T18" i="20"/>
  <c r="S18" i="20"/>
  <c r="R18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T17" i="20"/>
  <c r="S17" i="20"/>
  <c r="R17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T16" i="20"/>
  <c r="S16" i="20"/>
  <c r="R16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T15" i="20"/>
  <c r="S15" i="20"/>
  <c r="R15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T14" i="20"/>
  <c r="S14" i="20"/>
  <c r="R14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T13" i="20"/>
  <c r="S13" i="20"/>
  <c r="R13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T12" i="20"/>
  <c r="S12" i="20"/>
  <c r="R12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T11" i="20"/>
  <c r="S11" i="20"/>
  <c r="R11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T10" i="20"/>
  <c r="S10" i="20"/>
  <c r="R10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T9" i="20"/>
  <c r="S9" i="20"/>
  <c r="R9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T8" i="20"/>
  <c r="S8" i="20"/>
  <c r="R8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T7" i="20"/>
  <c r="S7" i="20"/>
  <c r="R7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T6" i="20"/>
  <c r="S6" i="20"/>
  <c r="R6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T5" i="20"/>
  <c r="S5" i="20"/>
  <c r="R5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T4" i="20"/>
  <c r="S4" i="20"/>
  <c r="R4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T3" i="20"/>
  <c r="S3" i="20"/>
  <c r="R3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T2" i="20"/>
  <c r="S2" i="20"/>
  <c r="R2" i="20"/>
  <c r="R127" i="19"/>
  <c r="Q127" i="19"/>
  <c r="P127" i="19"/>
  <c r="O127" i="19"/>
  <c r="N127" i="19"/>
  <c r="M127" i="19"/>
  <c r="L127" i="19"/>
  <c r="K127" i="19"/>
  <c r="J127" i="19"/>
  <c r="I127" i="19"/>
  <c r="H127" i="19"/>
  <c r="G127" i="19"/>
  <c r="F127" i="19"/>
  <c r="R126" i="19"/>
  <c r="N126" i="19"/>
  <c r="M126" i="19"/>
  <c r="L126" i="19"/>
  <c r="K126" i="19"/>
  <c r="J126" i="19"/>
  <c r="I126" i="19"/>
  <c r="H126" i="19"/>
  <c r="G126" i="19"/>
  <c r="F126" i="19"/>
  <c r="R125" i="19"/>
  <c r="Q125" i="19"/>
  <c r="P125" i="19"/>
  <c r="O125" i="19"/>
  <c r="N125" i="19"/>
  <c r="M125" i="19"/>
  <c r="R124" i="19"/>
  <c r="R122" i="19"/>
  <c r="Q122" i="19"/>
  <c r="P122" i="19"/>
  <c r="O122" i="19"/>
  <c r="N122" i="19"/>
  <c r="M122" i="19"/>
  <c r="L122" i="19"/>
  <c r="K122" i="19"/>
  <c r="J122" i="19"/>
  <c r="I122" i="19"/>
  <c r="H122" i="19"/>
  <c r="G122" i="19"/>
  <c r="F122" i="19"/>
  <c r="R121" i="19"/>
  <c r="J121" i="19"/>
  <c r="R119" i="19"/>
  <c r="Q119" i="19"/>
  <c r="P119" i="19"/>
  <c r="O119" i="19"/>
  <c r="N119" i="19"/>
  <c r="M119" i="19"/>
  <c r="L119" i="19"/>
  <c r="K119" i="19"/>
  <c r="J119" i="19"/>
  <c r="I119" i="19"/>
  <c r="H119" i="19"/>
  <c r="G119" i="19"/>
  <c r="F119" i="19"/>
  <c r="U118" i="19"/>
  <c r="T118" i="19"/>
  <c r="R118" i="19"/>
  <c r="Q118" i="19"/>
  <c r="P118" i="19"/>
  <c r="O118" i="19"/>
  <c r="N118" i="19"/>
  <c r="M118" i="19"/>
  <c r="L118" i="19"/>
  <c r="K118" i="19"/>
  <c r="J118" i="19"/>
  <c r="I118" i="19"/>
  <c r="H118" i="19"/>
  <c r="G118" i="19"/>
  <c r="F118" i="19"/>
  <c r="AJ117" i="19"/>
  <c r="U117" i="19"/>
  <c r="T117" i="19"/>
  <c r="R117" i="19"/>
  <c r="Q117" i="19"/>
  <c r="P117" i="19"/>
  <c r="O117" i="19"/>
  <c r="N117" i="19"/>
  <c r="M117" i="19"/>
  <c r="L117" i="19"/>
  <c r="K117" i="19"/>
  <c r="J117" i="19"/>
  <c r="I117" i="19"/>
  <c r="H117" i="19"/>
  <c r="G117" i="19"/>
  <c r="F117" i="19"/>
  <c r="AJ116" i="19"/>
  <c r="U116" i="19"/>
  <c r="T116" i="19"/>
  <c r="R116" i="19"/>
  <c r="Q116" i="19"/>
  <c r="P116" i="19"/>
  <c r="O116" i="19"/>
  <c r="N116" i="19"/>
  <c r="M116" i="19"/>
  <c r="L116" i="19"/>
  <c r="K116" i="19"/>
  <c r="J116" i="19"/>
  <c r="I116" i="19"/>
  <c r="H116" i="19"/>
  <c r="G116" i="19"/>
  <c r="F116" i="19"/>
  <c r="R115" i="19"/>
  <c r="Q115" i="19"/>
  <c r="P115" i="19"/>
  <c r="O115" i="19"/>
  <c r="N115" i="19"/>
  <c r="M115" i="19"/>
  <c r="L115" i="19"/>
  <c r="K115" i="19"/>
  <c r="J115" i="19"/>
  <c r="I115" i="19"/>
  <c r="H115" i="19"/>
  <c r="G115" i="19"/>
  <c r="F115" i="19"/>
  <c r="R114" i="19"/>
  <c r="Q114" i="19"/>
  <c r="P114" i="19"/>
  <c r="O114" i="19"/>
  <c r="N114" i="19"/>
  <c r="M114" i="19"/>
  <c r="L114" i="19"/>
  <c r="K114" i="19"/>
  <c r="J114" i="19"/>
  <c r="I114" i="19"/>
  <c r="H114" i="19"/>
  <c r="G114" i="19"/>
  <c r="F114" i="19"/>
  <c r="V113" i="19"/>
  <c r="R113" i="19"/>
  <c r="Q113" i="19"/>
  <c r="P113" i="19"/>
  <c r="O113" i="19"/>
  <c r="N113" i="19"/>
  <c r="M113" i="19"/>
  <c r="L113" i="19"/>
  <c r="K113" i="19"/>
  <c r="J113" i="19"/>
  <c r="I113" i="19"/>
  <c r="H113" i="19"/>
  <c r="G113" i="19"/>
  <c r="F113" i="19"/>
  <c r="AI112" i="19"/>
  <c r="AH112" i="19"/>
  <c r="AG112" i="19"/>
  <c r="AF112" i="19"/>
  <c r="AE112" i="19"/>
  <c r="AD112" i="19"/>
  <c r="AC112" i="19"/>
  <c r="AB112" i="19"/>
  <c r="AA112" i="19"/>
  <c r="Z112" i="19"/>
  <c r="Y112" i="19"/>
  <c r="X112" i="19"/>
  <c r="W112" i="19"/>
  <c r="V112" i="19"/>
  <c r="T112" i="19"/>
  <c r="R112" i="19"/>
  <c r="Q112" i="19"/>
  <c r="P112" i="19"/>
  <c r="O112" i="19"/>
  <c r="N112" i="19"/>
  <c r="M112" i="19"/>
  <c r="L112" i="19"/>
  <c r="K112" i="19"/>
  <c r="J112" i="19"/>
  <c r="I112" i="19"/>
  <c r="H112" i="19"/>
  <c r="G112" i="19"/>
  <c r="F112" i="19"/>
  <c r="AI110" i="19"/>
  <c r="AH110" i="19"/>
  <c r="AG110" i="19"/>
  <c r="AF110" i="19"/>
  <c r="AE110" i="19"/>
  <c r="AD110" i="19"/>
  <c r="AC110" i="19"/>
  <c r="AB110" i="19"/>
  <c r="AA110" i="19"/>
  <c r="Z110" i="19"/>
  <c r="Y110" i="19"/>
  <c r="X110" i="19"/>
  <c r="W110" i="19"/>
  <c r="V110" i="19"/>
  <c r="T110" i="19"/>
  <c r="S110" i="19"/>
  <c r="R110" i="19"/>
  <c r="AI109" i="19"/>
  <c r="AH109" i="19"/>
  <c r="AG109" i="19"/>
  <c r="AF109" i="19"/>
  <c r="AE109" i="19"/>
  <c r="AD109" i="19"/>
  <c r="AC109" i="19"/>
  <c r="AB109" i="19"/>
  <c r="AA109" i="19"/>
  <c r="Z109" i="19"/>
  <c r="Y109" i="19"/>
  <c r="X109" i="19"/>
  <c r="W109" i="19"/>
  <c r="V109" i="19"/>
  <c r="T109" i="19"/>
  <c r="S109" i="19"/>
  <c r="R109" i="19"/>
  <c r="AI108" i="19"/>
  <c r="AH108" i="19"/>
  <c r="AG108" i="19"/>
  <c r="AF108" i="19"/>
  <c r="AE108" i="19"/>
  <c r="AD108" i="19"/>
  <c r="AC108" i="19"/>
  <c r="AB108" i="19"/>
  <c r="AA108" i="19"/>
  <c r="Z108" i="19"/>
  <c r="Y108" i="19"/>
  <c r="X108" i="19"/>
  <c r="W108" i="19"/>
  <c r="V108" i="19"/>
  <c r="T108" i="19"/>
  <c r="S108" i="19"/>
  <c r="R108" i="19"/>
  <c r="H108" i="19"/>
  <c r="AI107" i="19"/>
  <c r="AH107" i="19"/>
  <c r="AG107" i="19"/>
  <c r="AF107" i="19"/>
  <c r="AE107" i="19"/>
  <c r="AD107" i="19"/>
  <c r="AC107" i="19"/>
  <c r="AB107" i="19"/>
  <c r="AA107" i="19"/>
  <c r="Z107" i="19"/>
  <c r="Y107" i="19"/>
  <c r="X107" i="19"/>
  <c r="W107" i="19"/>
  <c r="V107" i="19"/>
  <c r="T107" i="19"/>
  <c r="S107" i="19"/>
  <c r="R107" i="19"/>
  <c r="AI106" i="19"/>
  <c r="AH106" i="19"/>
  <c r="AG106" i="19"/>
  <c r="AF106" i="19"/>
  <c r="AE106" i="19"/>
  <c r="AD106" i="19"/>
  <c r="AC106" i="19"/>
  <c r="AB106" i="19"/>
  <c r="AA106" i="19"/>
  <c r="Z106" i="19"/>
  <c r="Y106" i="19"/>
  <c r="X106" i="19"/>
  <c r="W106" i="19"/>
  <c r="V106" i="19"/>
  <c r="T106" i="19"/>
  <c r="S106" i="19"/>
  <c r="R106" i="19"/>
  <c r="AI105" i="19"/>
  <c r="AH105" i="19"/>
  <c r="AG105" i="19"/>
  <c r="AF105" i="19"/>
  <c r="AE105" i="19"/>
  <c r="AD105" i="19"/>
  <c r="AC105" i="19"/>
  <c r="AB105" i="19"/>
  <c r="AA105" i="19"/>
  <c r="Z105" i="19"/>
  <c r="Y105" i="19"/>
  <c r="X105" i="19"/>
  <c r="W105" i="19"/>
  <c r="V105" i="19"/>
  <c r="T105" i="19"/>
  <c r="S105" i="19"/>
  <c r="R105" i="19"/>
  <c r="AI104" i="19"/>
  <c r="AH104" i="19"/>
  <c r="AG104" i="19"/>
  <c r="AF104" i="19"/>
  <c r="AE104" i="19"/>
  <c r="AD104" i="19"/>
  <c r="AC104" i="19"/>
  <c r="AB104" i="19"/>
  <c r="AA104" i="19"/>
  <c r="Z104" i="19"/>
  <c r="Y104" i="19"/>
  <c r="X104" i="19"/>
  <c r="W104" i="19"/>
  <c r="V104" i="19"/>
  <c r="T104" i="19"/>
  <c r="S104" i="19"/>
  <c r="R104" i="19"/>
  <c r="AI103" i="19"/>
  <c r="AH103" i="19"/>
  <c r="AG103" i="19"/>
  <c r="AF103" i="19"/>
  <c r="AE103" i="19"/>
  <c r="AD103" i="19"/>
  <c r="AC103" i="19"/>
  <c r="AB103" i="19"/>
  <c r="AA103" i="19"/>
  <c r="Z103" i="19"/>
  <c r="Y103" i="19"/>
  <c r="X103" i="19"/>
  <c r="W103" i="19"/>
  <c r="V103" i="19"/>
  <c r="T103" i="19"/>
  <c r="S103" i="19"/>
  <c r="R103" i="19"/>
  <c r="AI102" i="19"/>
  <c r="AH102" i="19"/>
  <c r="AG102" i="19"/>
  <c r="AF102" i="19"/>
  <c r="AE102" i="19"/>
  <c r="AD102" i="19"/>
  <c r="AC102" i="19"/>
  <c r="AB102" i="19"/>
  <c r="AA102" i="19"/>
  <c r="Z102" i="19"/>
  <c r="Y102" i="19"/>
  <c r="X102" i="19"/>
  <c r="W102" i="19"/>
  <c r="V102" i="19"/>
  <c r="T102" i="19"/>
  <c r="S102" i="19"/>
  <c r="R102" i="19"/>
  <c r="AI101" i="19"/>
  <c r="AH101" i="19"/>
  <c r="AG101" i="19"/>
  <c r="AF101" i="19"/>
  <c r="AE101" i="19"/>
  <c r="AD101" i="19"/>
  <c r="AC101" i="19"/>
  <c r="AB101" i="19"/>
  <c r="AA101" i="19"/>
  <c r="Z101" i="19"/>
  <c r="Y101" i="19"/>
  <c r="X101" i="19"/>
  <c r="W101" i="19"/>
  <c r="V101" i="19"/>
  <c r="T101" i="19"/>
  <c r="S101" i="19"/>
  <c r="R101" i="19"/>
  <c r="AI100" i="19"/>
  <c r="AH100" i="19"/>
  <c r="AG100" i="19"/>
  <c r="AF100" i="19"/>
  <c r="AE100" i="19"/>
  <c r="AD100" i="19"/>
  <c r="AC100" i="19"/>
  <c r="AB100" i="19"/>
  <c r="AA100" i="19"/>
  <c r="Z100" i="19"/>
  <c r="Y100" i="19"/>
  <c r="X100" i="19"/>
  <c r="W100" i="19"/>
  <c r="V100" i="19"/>
  <c r="T100" i="19"/>
  <c r="S100" i="19"/>
  <c r="R100" i="19"/>
  <c r="AI99" i="19"/>
  <c r="AH99" i="19"/>
  <c r="AG99" i="19"/>
  <c r="AF99" i="19"/>
  <c r="AE99" i="19"/>
  <c r="AD99" i="19"/>
  <c r="AC99" i="19"/>
  <c r="AB99" i="19"/>
  <c r="AA99" i="19"/>
  <c r="Z99" i="19"/>
  <c r="Y99" i="19"/>
  <c r="X99" i="19"/>
  <c r="W99" i="19"/>
  <c r="V99" i="19"/>
  <c r="T99" i="19"/>
  <c r="S99" i="19"/>
  <c r="R99" i="19"/>
  <c r="AI98" i="19"/>
  <c r="AH98" i="19"/>
  <c r="AG98" i="19"/>
  <c r="AF98" i="19"/>
  <c r="AE98" i="19"/>
  <c r="AD98" i="19"/>
  <c r="AC98" i="19"/>
  <c r="AB98" i="19"/>
  <c r="AA98" i="19"/>
  <c r="Z98" i="19"/>
  <c r="Y98" i="19"/>
  <c r="X98" i="19"/>
  <c r="W98" i="19"/>
  <c r="V98" i="19"/>
  <c r="T98" i="19"/>
  <c r="S98" i="19"/>
  <c r="R98" i="19"/>
  <c r="AI97" i="19"/>
  <c r="AH97" i="19"/>
  <c r="AG97" i="19"/>
  <c r="AF97" i="19"/>
  <c r="AE97" i="19"/>
  <c r="AD97" i="19"/>
  <c r="AC97" i="19"/>
  <c r="AB97" i="19"/>
  <c r="AA97" i="19"/>
  <c r="Z97" i="19"/>
  <c r="Y97" i="19"/>
  <c r="X97" i="19"/>
  <c r="W97" i="19"/>
  <c r="V97" i="19"/>
  <c r="T97" i="19"/>
  <c r="S97" i="19"/>
  <c r="R97" i="19"/>
  <c r="AI96" i="19"/>
  <c r="AH96" i="19"/>
  <c r="AG96" i="19"/>
  <c r="AF96" i="19"/>
  <c r="AE96" i="19"/>
  <c r="AD96" i="19"/>
  <c r="AC96" i="19"/>
  <c r="AB96" i="19"/>
  <c r="AA96" i="19"/>
  <c r="Z96" i="19"/>
  <c r="Y96" i="19"/>
  <c r="X96" i="19"/>
  <c r="W96" i="19"/>
  <c r="V96" i="19"/>
  <c r="T96" i="19"/>
  <c r="S96" i="19"/>
  <c r="R96" i="19"/>
  <c r="AI95" i="19"/>
  <c r="AH95" i="19"/>
  <c r="AG95" i="19"/>
  <c r="AF95" i="19"/>
  <c r="AE95" i="19"/>
  <c r="AD95" i="19"/>
  <c r="AC95" i="19"/>
  <c r="AB95" i="19"/>
  <c r="AA95" i="19"/>
  <c r="Z95" i="19"/>
  <c r="Y95" i="19"/>
  <c r="X95" i="19"/>
  <c r="W95" i="19"/>
  <c r="V95" i="19"/>
  <c r="T95" i="19"/>
  <c r="S95" i="19"/>
  <c r="R95" i="19"/>
  <c r="AI94" i="19"/>
  <c r="AH94" i="19"/>
  <c r="AG94" i="19"/>
  <c r="AF94" i="19"/>
  <c r="AE94" i="19"/>
  <c r="AD94" i="19"/>
  <c r="AC94" i="19"/>
  <c r="AB94" i="19"/>
  <c r="AA94" i="19"/>
  <c r="Z94" i="19"/>
  <c r="Y94" i="19"/>
  <c r="X94" i="19"/>
  <c r="W94" i="19"/>
  <c r="V94" i="19"/>
  <c r="T94" i="19"/>
  <c r="S94" i="19"/>
  <c r="R94" i="19"/>
  <c r="AI93" i="19"/>
  <c r="AH93" i="19"/>
  <c r="AG93" i="19"/>
  <c r="AF93" i="19"/>
  <c r="AE93" i="19"/>
  <c r="AD93" i="19"/>
  <c r="AC93" i="19"/>
  <c r="AB93" i="19"/>
  <c r="AA93" i="19"/>
  <c r="Z93" i="19"/>
  <c r="Y93" i="19"/>
  <c r="X93" i="19"/>
  <c r="W93" i="19"/>
  <c r="V93" i="19"/>
  <c r="T93" i="19"/>
  <c r="S93" i="19"/>
  <c r="R93" i="19"/>
  <c r="AI92" i="19"/>
  <c r="AH92" i="19"/>
  <c r="AG92" i="19"/>
  <c r="AF92" i="19"/>
  <c r="AE92" i="19"/>
  <c r="AD92" i="19"/>
  <c r="AC92" i="19"/>
  <c r="AB92" i="19"/>
  <c r="AA92" i="19"/>
  <c r="Z92" i="19"/>
  <c r="Y92" i="19"/>
  <c r="X92" i="19"/>
  <c r="W92" i="19"/>
  <c r="V92" i="19"/>
  <c r="T92" i="19"/>
  <c r="S92" i="19"/>
  <c r="R92" i="19"/>
  <c r="AI91" i="19"/>
  <c r="AH91" i="19"/>
  <c r="AG91" i="19"/>
  <c r="AF91" i="19"/>
  <c r="AE91" i="19"/>
  <c r="AD91" i="19"/>
  <c r="AC91" i="19"/>
  <c r="AB91" i="19"/>
  <c r="AA91" i="19"/>
  <c r="Z91" i="19"/>
  <c r="Y91" i="19"/>
  <c r="X91" i="19"/>
  <c r="W91" i="19"/>
  <c r="V91" i="19"/>
  <c r="T91" i="19"/>
  <c r="S91" i="19"/>
  <c r="R91" i="19"/>
  <c r="AI90" i="19"/>
  <c r="AH90" i="19"/>
  <c r="AG90" i="19"/>
  <c r="AF90" i="19"/>
  <c r="AE90" i="19"/>
  <c r="AD90" i="19"/>
  <c r="AC90" i="19"/>
  <c r="AB90" i="19"/>
  <c r="AA90" i="19"/>
  <c r="Z90" i="19"/>
  <c r="Y90" i="19"/>
  <c r="X90" i="19"/>
  <c r="W90" i="19"/>
  <c r="V90" i="19"/>
  <c r="T90" i="19"/>
  <c r="S90" i="19"/>
  <c r="R90" i="19"/>
  <c r="AI89" i="19"/>
  <c r="AH89" i="19"/>
  <c r="AG89" i="19"/>
  <c r="AF89" i="19"/>
  <c r="AE89" i="19"/>
  <c r="AD89" i="19"/>
  <c r="AC89" i="19"/>
  <c r="AB89" i="19"/>
  <c r="AA89" i="19"/>
  <c r="Z89" i="19"/>
  <c r="Y89" i="19"/>
  <c r="X89" i="19"/>
  <c r="W89" i="19"/>
  <c r="V89" i="19"/>
  <c r="T89" i="19"/>
  <c r="S89" i="19"/>
  <c r="R89" i="19"/>
  <c r="AI88" i="19"/>
  <c r="AH88" i="19"/>
  <c r="AG88" i="19"/>
  <c r="AF88" i="19"/>
  <c r="AE88" i="19"/>
  <c r="AD88" i="19"/>
  <c r="AC88" i="19"/>
  <c r="AB88" i="19"/>
  <c r="AA88" i="19"/>
  <c r="Z88" i="19"/>
  <c r="Y88" i="19"/>
  <c r="X88" i="19"/>
  <c r="W88" i="19"/>
  <c r="V88" i="19"/>
  <c r="T88" i="19"/>
  <c r="S88" i="19"/>
  <c r="R88" i="19"/>
  <c r="AI87" i="19"/>
  <c r="AH87" i="19"/>
  <c r="AG87" i="19"/>
  <c r="AF87" i="19"/>
  <c r="AE87" i="19"/>
  <c r="AD87" i="19"/>
  <c r="AC87" i="19"/>
  <c r="AB87" i="19"/>
  <c r="AA87" i="19"/>
  <c r="Z87" i="19"/>
  <c r="Y87" i="19"/>
  <c r="X87" i="19"/>
  <c r="W87" i="19"/>
  <c r="V87" i="19"/>
  <c r="T87" i="19"/>
  <c r="S87" i="19"/>
  <c r="R87" i="19"/>
  <c r="K87" i="19"/>
  <c r="J87" i="19"/>
  <c r="H87" i="19"/>
  <c r="AI86" i="19"/>
  <c r="AH86" i="19"/>
  <c r="AG86" i="19"/>
  <c r="AF86" i="19"/>
  <c r="AE86" i="19"/>
  <c r="AD86" i="19"/>
  <c r="AC86" i="19"/>
  <c r="AB86" i="19"/>
  <c r="AA86" i="19"/>
  <c r="Z86" i="19"/>
  <c r="Y86" i="19"/>
  <c r="X86" i="19"/>
  <c r="W86" i="19"/>
  <c r="V86" i="19"/>
  <c r="T86" i="19"/>
  <c r="S86" i="19"/>
  <c r="R86" i="19"/>
  <c r="AI85" i="19"/>
  <c r="AH85" i="19"/>
  <c r="AG85" i="19"/>
  <c r="AF85" i="19"/>
  <c r="AE85" i="19"/>
  <c r="AD85" i="19"/>
  <c r="AC85" i="19"/>
  <c r="AB85" i="19"/>
  <c r="AA85" i="19"/>
  <c r="Z85" i="19"/>
  <c r="Y85" i="19"/>
  <c r="X85" i="19"/>
  <c r="W85" i="19"/>
  <c r="V85" i="19"/>
  <c r="T85" i="19"/>
  <c r="S85" i="19"/>
  <c r="R85" i="19"/>
  <c r="AI84" i="19"/>
  <c r="AH84" i="19"/>
  <c r="AG84" i="19"/>
  <c r="AF84" i="19"/>
  <c r="AE84" i="19"/>
  <c r="AD84" i="19"/>
  <c r="AC84" i="19"/>
  <c r="AB84" i="19"/>
  <c r="AA84" i="19"/>
  <c r="Z84" i="19"/>
  <c r="Y84" i="19"/>
  <c r="X84" i="19"/>
  <c r="W84" i="19"/>
  <c r="V84" i="19"/>
  <c r="T84" i="19"/>
  <c r="S84" i="19"/>
  <c r="R84" i="19"/>
  <c r="AI83" i="19"/>
  <c r="AH83" i="19"/>
  <c r="AG83" i="19"/>
  <c r="AF83" i="19"/>
  <c r="AE83" i="19"/>
  <c r="AD83" i="19"/>
  <c r="AC83" i="19"/>
  <c r="AB83" i="19"/>
  <c r="AA83" i="19"/>
  <c r="Z83" i="19"/>
  <c r="Y83" i="19"/>
  <c r="X83" i="19"/>
  <c r="W83" i="19"/>
  <c r="V83" i="19"/>
  <c r="T83" i="19"/>
  <c r="S83" i="19"/>
  <c r="R83" i="19"/>
  <c r="J83" i="19"/>
  <c r="F83" i="19"/>
  <c r="AI82" i="19"/>
  <c r="AH82" i="19"/>
  <c r="AG82" i="19"/>
  <c r="AF82" i="19"/>
  <c r="AE82" i="19"/>
  <c r="AD82" i="19"/>
  <c r="AC82" i="19"/>
  <c r="AB82" i="19"/>
  <c r="AA82" i="19"/>
  <c r="Z82" i="19"/>
  <c r="Y82" i="19"/>
  <c r="X82" i="19"/>
  <c r="W82" i="19"/>
  <c r="V82" i="19"/>
  <c r="T82" i="19"/>
  <c r="S82" i="19"/>
  <c r="R82" i="19"/>
  <c r="AI81" i="19"/>
  <c r="AH81" i="19"/>
  <c r="AG81" i="19"/>
  <c r="AF81" i="19"/>
  <c r="AE81" i="19"/>
  <c r="AD81" i="19"/>
  <c r="AC81" i="19"/>
  <c r="AB81" i="19"/>
  <c r="AA81" i="19"/>
  <c r="Z81" i="19"/>
  <c r="Y81" i="19"/>
  <c r="X81" i="19"/>
  <c r="W81" i="19"/>
  <c r="V81" i="19"/>
  <c r="T81" i="19"/>
  <c r="S81" i="19"/>
  <c r="R81" i="19"/>
  <c r="AI80" i="19"/>
  <c r="AH80" i="19"/>
  <c r="AG80" i="19"/>
  <c r="AF80" i="19"/>
  <c r="AE80" i="19"/>
  <c r="AD80" i="19"/>
  <c r="AC80" i="19"/>
  <c r="AB80" i="19"/>
  <c r="AA80" i="19"/>
  <c r="Z80" i="19"/>
  <c r="Y80" i="19"/>
  <c r="X80" i="19"/>
  <c r="W80" i="19"/>
  <c r="V80" i="19"/>
  <c r="T80" i="19"/>
  <c r="S80" i="19"/>
  <c r="R80" i="19"/>
  <c r="AI79" i="19"/>
  <c r="AH79" i="19"/>
  <c r="AG79" i="19"/>
  <c r="AF79" i="19"/>
  <c r="AE79" i="19"/>
  <c r="AD79" i="19"/>
  <c r="AC79" i="19"/>
  <c r="AB79" i="19"/>
  <c r="AA79" i="19"/>
  <c r="Z79" i="19"/>
  <c r="Y79" i="19"/>
  <c r="X79" i="19"/>
  <c r="W79" i="19"/>
  <c r="V79" i="19"/>
  <c r="T79" i="19"/>
  <c r="S79" i="19"/>
  <c r="R79" i="19"/>
  <c r="AI78" i="19"/>
  <c r="AH78" i="19"/>
  <c r="AG78" i="19"/>
  <c r="AF78" i="19"/>
  <c r="AE78" i="19"/>
  <c r="AD78" i="19"/>
  <c r="AC78" i="19"/>
  <c r="AB78" i="19"/>
  <c r="AA78" i="19"/>
  <c r="Z78" i="19"/>
  <c r="Y78" i="19"/>
  <c r="X78" i="19"/>
  <c r="W78" i="19"/>
  <c r="V78" i="19"/>
  <c r="T78" i="19"/>
  <c r="S78" i="19"/>
  <c r="R78" i="19"/>
  <c r="AI77" i="19"/>
  <c r="AH77" i="19"/>
  <c r="AG77" i="19"/>
  <c r="AF77" i="19"/>
  <c r="AE77" i="19"/>
  <c r="AD77" i="19"/>
  <c r="AC77" i="19"/>
  <c r="AB77" i="19"/>
  <c r="AA77" i="19"/>
  <c r="Z77" i="19"/>
  <c r="Y77" i="19"/>
  <c r="X77" i="19"/>
  <c r="W77" i="19"/>
  <c r="V77" i="19"/>
  <c r="T77" i="19"/>
  <c r="S77" i="19"/>
  <c r="R77" i="19"/>
  <c r="AI76" i="19"/>
  <c r="AH76" i="19"/>
  <c r="AG76" i="19"/>
  <c r="AF76" i="19"/>
  <c r="AE76" i="19"/>
  <c r="AD76" i="19"/>
  <c r="AC76" i="19"/>
  <c r="AB76" i="19"/>
  <c r="AA76" i="19"/>
  <c r="Z76" i="19"/>
  <c r="Y76" i="19"/>
  <c r="X76" i="19"/>
  <c r="W76" i="19"/>
  <c r="V76" i="19"/>
  <c r="T76" i="19"/>
  <c r="S76" i="19"/>
  <c r="R76" i="19"/>
  <c r="AI75" i="19"/>
  <c r="AH75" i="19"/>
  <c r="AG75" i="19"/>
  <c r="AF75" i="19"/>
  <c r="AE75" i="19"/>
  <c r="AD75" i="19"/>
  <c r="AC75" i="19"/>
  <c r="AB75" i="19"/>
  <c r="AA75" i="19"/>
  <c r="Z75" i="19"/>
  <c r="Y75" i="19"/>
  <c r="X75" i="19"/>
  <c r="W75" i="19"/>
  <c r="V75" i="19"/>
  <c r="T75" i="19"/>
  <c r="S75" i="19"/>
  <c r="R75" i="19"/>
  <c r="AI74" i="19"/>
  <c r="AH74" i="19"/>
  <c r="AG74" i="19"/>
  <c r="AF74" i="19"/>
  <c r="AE74" i="19"/>
  <c r="AD74" i="19"/>
  <c r="AC74" i="19"/>
  <c r="AB74" i="19"/>
  <c r="AA74" i="19"/>
  <c r="Z74" i="19"/>
  <c r="Y74" i="19"/>
  <c r="X74" i="19"/>
  <c r="W74" i="19"/>
  <c r="V74" i="19"/>
  <c r="T74" i="19"/>
  <c r="S74" i="19"/>
  <c r="R74" i="19"/>
  <c r="O74" i="19"/>
  <c r="N74" i="19"/>
  <c r="M74" i="19"/>
  <c r="AI73" i="19"/>
  <c r="AH73" i="19"/>
  <c r="AG73" i="19"/>
  <c r="AF73" i="19"/>
  <c r="AE73" i="19"/>
  <c r="AD73" i="19"/>
  <c r="AC73" i="19"/>
  <c r="AB73" i="19"/>
  <c r="AA73" i="19"/>
  <c r="Z73" i="19"/>
  <c r="Y73" i="19"/>
  <c r="X73" i="19"/>
  <c r="W73" i="19"/>
  <c r="V73" i="19"/>
  <c r="T73" i="19"/>
  <c r="S73" i="19"/>
  <c r="R73" i="19"/>
  <c r="AI72" i="19"/>
  <c r="AH72" i="19"/>
  <c r="AG72" i="19"/>
  <c r="AF72" i="19"/>
  <c r="AE72" i="19"/>
  <c r="AD72" i="19"/>
  <c r="AC72" i="19"/>
  <c r="AB72" i="19"/>
  <c r="AA72" i="19"/>
  <c r="Z72" i="19"/>
  <c r="Y72" i="19"/>
  <c r="X72" i="19"/>
  <c r="W72" i="19"/>
  <c r="V72" i="19"/>
  <c r="T72" i="19"/>
  <c r="S72" i="19"/>
  <c r="R72" i="19"/>
  <c r="AI71" i="19"/>
  <c r="AH71" i="19"/>
  <c r="AG71" i="19"/>
  <c r="AF71" i="19"/>
  <c r="AE71" i="19"/>
  <c r="AD71" i="19"/>
  <c r="AC71" i="19"/>
  <c r="AB71" i="19"/>
  <c r="AA71" i="19"/>
  <c r="Z71" i="19"/>
  <c r="Y71" i="19"/>
  <c r="X71" i="19"/>
  <c r="W71" i="19"/>
  <c r="V71" i="19"/>
  <c r="T71" i="19"/>
  <c r="S71" i="19"/>
  <c r="R71" i="19"/>
  <c r="AI70" i="19"/>
  <c r="AH70" i="19"/>
  <c r="AG70" i="19"/>
  <c r="AF70" i="19"/>
  <c r="AE70" i="19"/>
  <c r="AD70" i="19"/>
  <c r="AC70" i="19"/>
  <c r="AB70" i="19"/>
  <c r="AA70" i="19"/>
  <c r="Z70" i="19"/>
  <c r="Y70" i="19"/>
  <c r="X70" i="19"/>
  <c r="W70" i="19"/>
  <c r="V70" i="19"/>
  <c r="T70" i="19"/>
  <c r="S70" i="19"/>
  <c r="R70" i="19"/>
  <c r="AI69" i="19"/>
  <c r="AH69" i="19"/>
  <c r="AG69" i="19"/>
  <c r="AF69" i="19"/>
  <c r="AE69" i="19"/>
  <c r="AD69" i="19"/>
  <c r="AC69" i="19"/>
  <c r="AB69" i="19"/>
  <c r="AA69" i="19"/>
  <c r="Z69" i="19"/>
  <c r="Y69" i="19"/>
  <c r="X69" i="19"/>
  <c r="W69" i="19"/>
  <c r="V69" i="19"/>
  <c r="T69" i="19"/>
  <c r="S69" i="19"/>
  <c r="R69" i="19"/>
  <c r="K69" i="19"/>
  <c r="AI68" i="19"/>
  <c r="AH68" i="19"/>
  <c r="AG68" i="19"/>
  <c r="AF68" i="19"/>
  <c r="AE68" i="19"/>
  <c r="AD68" i="19"/>
  <c r="AC68" i="19"/>
  <c r="AB68" i="19"/>
  <c r="AA68" i="19"/>
  <c r="Z68" i="19"/>
  <c r="Y68" i="19"/>
  <c r="X68" i="19"/>
  <c r="W68" i="19"/>
  <c r="V68" i="19"/>
  <c r="T68" i="19"/>
  <c r="S68" i="19"/>
  <c r="R68" i="19"/>
  <c r="AI67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T67" i="19"/>
  <c r="S67" i="19"/>
  <c r="R67" i="19"/>
  <c r="AI66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T66" i="19"/>
  <c r="S66" i="19"/>
  <c r="R66" i="19"/>
  <c r="AI65" i="19"/>
  <c r="AH65" i="19"/>
  <c r="AG65" i="19"/>
  <c r="AF65" i="19"/>
  <c r="AE65" i="19"/>
  <c r="AD65" i="19"/>
  <c r="AC65" i="19"/>
  <c r="AB65" i="19"/>
  <c r="AA65" i="19"/>
  <c r="Z65" i="19"/>
  <c r="Y65" i="19"/>
  <c r="X65" i="19"/>
  <c r="W65" i="19"/>
  <c r="V65" i="19"/>
  <c r="T65" i="19"/>
  <c r="S65" i="19"/>
  <c r="R65" i="19"/>
  <c r="G65" i="19"/>
  <c r="AI64" i="19"/>
  <c r="AH64" i="19"/>
  <c r="AG64" i="19"/>
  <c r="AF64" i="19"/>
  <c r="AE64" i="19"/>
  <c r="AD64" i="19"/>
  <c r="AC64" i="19"/>
  <c r="AB64" i="19"/>
  <c r="AA64" i="19"/>
  <c r="Z64" i="19"/>
  <c r="Y64" i="19"/>
  <c r="X64" i="19"/>
  <c r="W64" i="19"/>
  <c r="V64" i="19"/>
  <c r="T64" i="19"/>
  <c r="S64" i="19"/>
  <c r="R64" i="19"/>
  <c r="N64" i="19"/>
  <c r="M64" i="19"/>
  <c r="AI63" i="19"/>
  <c r="AH63" i="19"/>
  <c r="AG63" i="19"/>
  <c r="AF63" i="19"/>
  <c r="AE63" i="19"/>
  <c r="AD63" i="19"/>
  <c r="AC63" i="19"/>
  <c r="AB63" i="19"/>
  <c r="AA63" i="19"/>
  <c r="Z63" i="19"/>
  <c r="Y63" i="19"/>
  <c r="X63" i="19"/>
  <c r="W63" i="19"/>
  <c r="V63" i="19"/>
  <c r="T63" i="19"/>
  <c r="S63" i="19"/>
  <c r="R63" i="19"/>
  <c r="AI62" i="19"/>
  <c r="AH62" i="19"/>
  <c r="AG62" i="19"/>
  <c r="AF62" i="19"/>
  <c r="AE62" i="19"/>
  <c r="AD62" i="19"/>
  <c r="AC62" i="19"/>
  <c r="AB62" i="19"/>
  <c r="AA62" i="19"/>
  <c r="Z62" i="19"/>
  <c r="Y62" i="19"/>
  <c r="X62" i="19"/>
  <c r="W62" i="19"/>
  <c r="V62" i="19"/>
  <c r="T62" i="19"/>
  <c r="S62" i="19"/>
  <c r="R62" i="19"/>
  <c r="AI61" i="19"/>
  <c r="AH61" i="19"/>
  <c r="AG61" i="19"/>
  <c r="AF61" i="19"/>
  <c r="AE61" i="19"/>
  <c r="AD61" i="19"/>
  <c r="AC61" i="19"/>
  <c r="AB61" i="19"/>
  <c r="AA61" i="19"/>
  <c r="Z61" i="19"/>
  <c r="Y61" i="19"/>
  <c r="X61" i="19"/>
  <c r="W61" i="19"/>
  <c r="V61" i="19"/>
  <c r="T61" i="19"/>
  <c r="S61" i="19"/>
  <c r="R61" i="19"/>
  <c r="AI60" i="19"/>
  <c r="AH60" i="19"/>
  <c r="AG60" i="19"/>
  <c r="AF60" i="19"/>
  <c r="AE60" i="19"/>
  <c r="AD60" i="19"/>
  <c r="AC60" i="19"/>
  <c r="AB60" i="19"/>
  <c r="AA60" i="19"/>
  <c r="Z60" i="19"/>
  <c r="Y60" i="19"/>
  <c r="X60" i="19"/>
  <c r="W60" i="19"/>
  <c r="V60" i="19"/>
  <c r="T60" i="19"/>
  <c r="S60" i="19"/>
  <c r="R60" i="19"/>
  <c r="AI59" i="19"/>
  <c r="AH59" i="19"/>
  <c r="AG59" i="19"/>
  <c r="AF59" i="19"/>
  <c r="AE59" i="19"/>
  <c r="AD59" i="19"/>
  <c r="AC59" i="19"/>
  <c r="AB59" i="19"/>
  <c r="AA59" i="19"/>
  <c r="Z59" i="19"/>
  <c r="Y59" i="19"/>
  <c r="X59" i="19"/>
  <c r="W59" i="19"/>
  <c r="V59" i="19"/>
  <c r="T59" i="19"/>
  <c r="S59" i="19"/>
  <c r="R59" i="19"/>
  <c r="AI58" i="19"/>
  <c r="AH58" i="19"/>
  <c r="AG58" i="19"/>
  <c r="AF58" i="19"/>
  <c r="AE58" i="19"/>
  <c r="AD58" i="19"/>
  <c r="AC58" i="19"/>
  <c r="AB58" i="19"/>
  <c r="AA58" i="19"/>
  <c r="Z58" i="19"/>
  <c r="Y58" i="19"/>
  <c r="X58" i="19"/>
  <c r="W58" i="19"/>
  <c r="V58" i="19"/>
  <c r="T58" i="19"/>
  <c r="S58" i="19"/>
  <c r="R58" i="19"/>
  <c r="AI57" i="19"/>
  <c r="AH57" i="19"/>
  <c r="AG57" i="19"/>
  <c r="AF57" i="19"/>
  <c r="AE57" i="19"/>
  <c r="AD57" i="19"/>
  <c r="AC57" i="19"/>
  <c r="AB57" i="19"/>
  <c r="AA57" i="19"/>
  <c r="Z57" i="19"/>
  <c r="Y57" i="19"/>
  <c r="X57" i="19"/>
  <c r="W57" i="19"/>
  <c r="V57" i="19"/>
  <c r="T57" i="19"/>
  <c r="S57" i="19"/>
  <c r="R57" i="19"/>
  <c r="AI56" i="19"/>
  <c r="AH56" i="19"/>
  <c r="AG56" i="19"/>
  <c r="AF56" i="19"/>
  <c r="AE56" i="19"/>
  <c r="AD56" i="19"/>
  <c r="AC56" i="19"/>
  <c r="AB56" i="19"/>
  <c r="AA56" i="19"/>
  <c r="Z56" i="19"/>
  <c r="Y56" i="19"/>
  <c r="X56" i="19"/>
  <c r="W56" i="19"/>
  <c r="V56" i="19"/>
  <c r="T56" i="19"/>
  <c r="S56" i="19"/>
  <c r="R56" i="19"/>
  <c r="AI55" i="19"/>
  <c r="AH55" i="19"/>
  <c r="AG55" i="19"/>
  <c r="AF55" i="19"/>
  <c r="AE55" i="19"/>
  <c r="AD55" i="19"/>
  <c r="AC55" i="19"/>
  <c r="AB55" i="19"/>
  <c r="AA55" i="19"/>
  <c r="Z55" i="19"/>
  <c r="Y55" i="19"/>
  <c r="X55" i="19"/>
  <c r="W55" i="19"/>
  <c r="V55" i="19"/>
  <c r="T55" i="19"/>
  <c r="S55" i="19"/>
  <c r="R55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T54" i="19"/>
  <c r="S54" i="19"/>
  <c r="R54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T53" i="19"/>
  <c r="S53" i="19"/>
  <c r="R53" i="19"/>
  <c r="AI52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T52" i="19"/>
  <c r="S52" i="19"/>
  <c r="R52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T51" i="19"/>
  <c r="S51" i="19"/>
  <c r="R51" i="19"/>
  <c r="AI50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T50" i="19"/>
  <c r="S50" i="19"/>
  <c r="R50" i="19"/>
  <c r="AI49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T49" i="19"/>
  <c r="S49" i="19"/>
  <c r="R49" i="19"/>
  <c r="AI48" i="19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T48" i="19"/>
  <c r="S48" i="19"/>
  <c r="R48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T47" i="19"/>
  <c r="S47" i="19"/>
  <c r="R47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T46" i="19"/>
  <c r="S46" i="19"/>
  <c r="R46" i="19"/>
  <c r="AI45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T45" i="19"/>
  <c r="S45" i="19"/>
  <c r="R45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T44" i="19"/>
  <c r="S44" i="19"/>
  <c r="R44" i="19"/>
  <c r="AI43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T43" i="19"/>
  <c r="S43" i="19"/>
  <c r="R43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T42" i="19"/>
  <c r="S42" i="19"/>
  <c r="R42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T41" i="19"/>
  <c r="S41" i="19"/>
  <c r="R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T40" i="19"/>
  <c r="S40" i="19"/>
  <c r="R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T39" i="19"/>
  <c r="S39" i="19"/>
  <c r="R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T38" i="19"/>
  <c r="S38" i="19"/>
  <c r="R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T37" i="19"/>
  <c r="S37" i="19"/>
  <c r="R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T36" i="19"/>
  <c r="S36" i="19"/>
  <c r="R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T35" i="19"/>
  <c r="S35" i="19"/>
  <c r="R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T34" i="19"/>
  <c r="S34" i="19"/>
  <c r="R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T33" i="19"/>
  <c r="S33" i="19"/>
  <c r="R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T32" i="19"/>
  <c r="S32" i="19"/>
  <c r="R32" i="19"/>
  <c r="AI31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T31" i="19"/>
  <c r="S31" i="19"/>
  <c r="R31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T30" i="19"/>
  <c r="S30" i="19"/>
  <c r="R30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T29" i="19"/>
  <c r="S29" i="19"/>
  <c r="R29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T28" i="19"/>
  <c r="S28" i="19"/>
  <c r="R28" i="19"/>
  <c r="AI27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T27" i="19"/>
  <c r="S27" i="19"/>
  <c r="R27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T26" i="19"/>
  <c r="S26" i="19"/>
  <c r="R26" i="19"/>
  <c r="AI25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T25" i="19"/>
  <c r="S25" i="19"/>
  <c r="R25" i="19"/>
  <c r="AI24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T24" i="19"/>
  <c r="S24" i="19"/>
  <c r="R24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T23" i="19"/>
  <c r="S23" i="19"/>
  <c r="R23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T22" i="19"/>
  <c r="S22" i="19"/>
  <c r="R22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T21" i="19"/>
  <c r="S21" i="19"/>
  <c r="R21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T20" i="19"/>
  <c r="S20" i="19"/>
  <c r="R20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T19" i="19"/>
  <c r="S19" i="19"/>
  <c r="R19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T18" i="19"/>
  <c r="S18" i="19"/>
  <c r="R18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T17" i="19"/>
  <c r="S17" i="19"/>
  <c r="R17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T16" i="19"/>
  <c r="S16" i="19"/>
  <c r="R16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T15" i="19"/>
  <c r="S15" i="19"/>
  <c r="R15" i="19"/>
  <c r="P15" i="19"/>
  <c r="O15" i="19"/>
  <c r="N15" i="19"/>
  <c r="M15" i="19"/>
  <c r="L15" i="19"/>
  <c r="K15" i="19"/>
  <c r="J15" i="19"/>
  <c r="I15" i="19"/>
  <c r="H15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T14" i="19"/>
  <c r="S14" i="19"/>
  <c r="R14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T13" i="19"/>
  <c r="S13" i="19"/>
  <c r="R13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T12" i="19"/>
  <c r="S12" i="19"/>
  <c r="R12" i="19"/>
  <c r="I12" i="19"/>
  <c r="H12" i="19"/>
  <c r="G12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T11" i="19"/>
  <c r="S11" i="19"/>
  <c r="R11" i="19"/>
  <c r="N11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T10" i="19"/>
  <c r="S10" i="19"/>
  <c r="R10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T9" i="19"/>
  <c r="S9" i="19"/>
  <c r="R9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T8" i="19"/>
  <c r="S8" i="19"/>
  <c r="R8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T7" i="19"/>
  <c r="S7" i="19"/>
  <c r="R7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T6" i="19"/>
  <c r="S6" i="19"/>
  <c r="R6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T5" i="19"/>
  <c r="S5" i="19"/>
  <c r="R5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T4" i="19"/>
  <c r="S4" i="19"/>
  <c r="R4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T3" i="19"/>
  <c r="S3" i="19"/>
  <c r="R3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T2" i="19"/>
  <c r="S2" i="19"/>
  <c r="R2" i="19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G126" i="17"/>
  <c r="S125" i="17"/>
  <c r="O125" i="17"/>
  <c r="N125" i="17"/>
  <c r="M125" i="17"/>
  <c r="L125" i="17"/>
  <c r="K125" i="17"/>
  <c r="J125" i="17"/>
  <c r="I125" i="17"/>
  <c r="H125" i="17"/>
  <c r="G125" i="17"/>
  <c r="S124" i="17"/>
  <c r="R124" i="17"/>
  <c r="Q124" i="17"/>
  <c r="P124" i="17"/>
  <c r="O124" i="17"/>
  <c r="N124" i="17"/>
  <c r="M124" i="17"/>
  <c r="L124" i="17"/>
  <c r="K124" i="17"/>
  <c r="J124" i="17"/>
  <c r="I124" i="17"/>
  <c r="H124" i="17"/>
  <c r="G124" i="17"/>
  <c r="S123" i="17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G121" i="17"/>
  <c r="S120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G118" i="17"/>
  <c r="S117" i="17"/>
  <c r="R117" i="17"/>
  <c r="Q117" i="17"/>
  <c r="P117" i="17"/>
  <c r="O117" i="17"/>
  <c r="N117" i="17"/>
  <c r="M117" i="17"/>
  <c r="L117" i="17"/>
  <c r="K117" i="17"/>
  <c r="J117" i="17"/>
  <c r="I117" i="17"/>
  <c r="H117" i="17"/>
  <c r="G117" i="17"/>
  <c r="S116" i="17"/>
  <c r="R116" i="17"/>
  <c r="Q116" i="17"/>
  <c r="P116" i="17"/>
  <c r="O116" i="17"/>
  <c r="N116" i="17"/>
  <c r="M116" i="17"/>
  <c r="L116" i="17"/>
  <c r="K116" i="17"/>
  <c r="J116" i="17"/>
  <c r="I116" i="17"/>
  <c r="H116" i="17"/>
  <c r="G116" i="17"/>
  <c r="S115" i="17"/>
  <c r="R115" i="17"/>
  <c r="Q115" i="17"/>
  <c r="P115" i="17"/>
  <c r="O115" i="17"/>
  <c r="N115" i="17"/>
  <c r="M115" i="17"/>
  <c r="L115" i="17"/>
  <c r="K115" i="17"/>
  <c r="J115" i="17"/>
  <c r="I115" i="17"/>
  <c r="H115" i="17"/>
  <c r="G115" i="17"/>
  <c r="S114" i="17"/>
  <c r="R114" i="17"/>
  <c r="Q114" i="17"/>
  <c r="P114" i="17"/>
  <c r="O114" i="17"/>
  <c r="N114" i="17"/>
  <c r="M114" i="17"/>
  <c r="L114" i="17"/>
  <c r="K114" i="17"/>
  <c r="J114" i="17"/>
  <c r="I114" i="17"/>
  <c r="H114" i="17"/>
  <c r="G114" i="17"/>
  <c r="S113" i="17"/>
  <c r="R113" i="17"/>
  <c r="Q113" i="17"/>
  <c r="P113" i="17"/>
  <c r="O113" i="17"/>
  <c r="N113" i="17"/>
  <c r="M113" i="17"/>
  <c r="L113" i="17"/>
  <c r="K113" i="17"/>
  <c r="J113" i="17"/>
  <c r="I113" i="17"/>
  <c r="H113" i="17"/>
  <c r="G113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G112" i="17"/>
  <c r="U111" i="17"/>
  <c r="S111" i="17"/>
  <c r="R111" i="17"/>
  <c r="Q111" i="17"/>
  <c r="P111" i="17"/>
  <c r="O111" i="17"/>
  <c r="N111" i="17"/>
  <c r="M111" i="17"/>
  <c r="L111" i="17"/>
  <c r="K111" i="17"/>
  <c r="J111" i="17"/>
  <c r="I111" i="17"/>
  <c r="H111" i="17"/>
  <c r="G111" i="17"/>
  <c r="U109" i="17"/>
  <c r="T109" i="17"/>
  <c r="S109" i="17"/>
  <c r="U108" i="17"/>
  <c r="T108" i="17"/>
  <c r="S108" i="17"/>
  <c r="U107" i="17"/>
  <c r="T107" i="17"/>
  <c r="S107" i="17"/>
  <c r="U106" i="17"/>
  <c r="T106" i="17"/>
  <c r="S106" i="17"/>
  <c r="U105" i="17"/>
  <c r="T105" i="17"/>
  <c r="S105" i="17"/>
  <c r="U104" i="17"/>
  <c r="T104" i="17"/>
  <c r="S104" i="17"/>
  <c r="U103" i="17"/>
  <c r="T103" i="17"/>
  <c r="S103" i="17"/>
  <c r="U102" i="17"/>
  <c r="T102" i="17"/>
  <c r="S102" i="17"/>
  <c r="U101" i="17"/>
  <c r="T101" i="17"/>
  <c r="S101" i="17"/>
  <c r="U100" i="17"/>
  <c r="T100" i="17"/>
  <c r="S100" i="17"/>
  <c r="U99" i="17"/>
  <c r="T99" i="17"/>
  <c r="S99" i="17"/>
  <c r="U98" i="17"/>
  <c r="T98" i="17"/>
  <c r="S98" i="17"/>
  <c r="U97" i="17"/>
  <c r="T97" i="17"/>
  <c r="S97" i="17"/>
  <c r="U96" i="17"/>
  <c r="T96" i="17"/>
  <c r="S96" i="17"/>
  <c r="U95" i="17"/>
  <c r="T95" i="17"/>
  <c r="S95" i="17"/>
  <c r="U94" i="17"/>
  <c r="T94" i="17"/>
  <c r="S94" i="17"/>
  <c r="U93" i="17"/>
  <c r="T93" i="17"/>
  <c r="S93" i="17"/>
  <c r="U92" i="17"/>
  <c r="T92" i="17"/>
  <c r="S92" i="17"/>
  <c r="U91" i="17"/>
  <c r="T91" i="17"/>
  <c r="S91" i="17"/>
  <c r="U90" i="17"/>
  <c r="T90" i="17"/>
  <c r="S90" i="17"/>
  <c r="U89" i="17"/>
  <c r="T89" i="17"/>
  <c r="S89" i="17"/>
  <c r="U88" i="17"/>
  <c r="T88" i="17"/>
  <c r="S88" i="17"/>
  <c r="U87" i="17"/>
  <c r="T87" i="17"/>
  <c r="S87" i="17"/>
  <c r="U86" i="17"/>
  <c r="T86" i="17"/>
  <c r="S86" i="17"/>
  <c r="U85" i="17"/>
  <c r="T85" i="17"/>
  <c r="S85" i="17"/>
  <c r="U83" i="17"/>
  <c r="T83" i="17"/>
  <c r="S83" i="17"/>
  <c r="U82" i="17"/>
  <c r="T82" i="17"/>
  <c r="S82" i="17"/>
  <c r="U81" i="17"/>
  <c r="T81" i="17"/>
  <c r="S81" i="17"/>
  <c r="U80" i="17"/>
  <c r="T80" i="17"/>
  <c r="S80" i="17"/>
  <c r="U79" i="17"/>
  <c r="T79" i="17"/>
  <c r="S79" i="17"/>
  <c r="U78" i="17"/>
  <c r="T78" i="17"/>
  <c r="S78" i="17"/>
  <c r="U77" i="17"/>
  <c r="T77" i="17"/>
  <c r="S77" i="17"/>
  <c r="U76" i="17"/>
  <c r="T76" i="17"/>
  <c r="S76" i="17"/>
  <c r="U75" i="17"/>
  <c r="T75" i="17"/>
  <c r="S75" i="17"/>
  <c r="U74" i="17"/>
  <c r="T74" i="17"/>
  <c r="S74" i="17"/>
  <c r="U73" i="17"/>
  <c r="T73" i="17"/>
  <c r="S73" i="17"/>
  <c r="U72" i="17"/>
  <c r="T72" i="17"/>
  <c r="S72" i="17"/>
  <c r="U71" i="17"/>
  <c r="T71" i="17"/>
  <c r="S71" i="17"/>
  <c r="U70" i="17"/>
  <c r="T70" i="17"/>
  <c r="S70" i="17"/>
  <c r="U69" i="17"/>
  <c r="T69" i="17"/>
  <c r="S69" i="17"/>
  <c r="G69" i="17"/>
  <c r="U68" i="17"/>
  <c r="T68" i="17"/>
  <c r="S68" i="17"/>
  <c r="U67" i="17"/>
  <c r="T67" i="17"/>
  <c r="S67" i="17"/>
  <c r="U66" i="17"/>
  <c r="T66" i="17"/>
  <c r="S66" i="17"/>
  <c r="U65" i="17"/>
  <c r="T65" i="17"/>
  <c r="S65" i="17"/>
  <c r="U64" i="17"/>
  <c r="T64" i="17"/>
  <c r="S64" i="17"/>
  <c r="U63" i="17"/>
  <c r="T63" i="17"/>
  <c r="S63" i="17"/>
  <c r="U62" i="17"/>
  <c r="T62" i="17"/>
  <c r="S62" i="17"/>
  <c r="U61" i="17"/>
  <c r="T61" i="17"/>
  <c r="S61" i="17"/>
  <c r="U60" i="17"/>
  <c r="T60" i="17"/>
  <c r="S60" i="17"/>
  <c r="U59" i="17"/>
  <c r="T59" i="17"/>
  <c r="S59" i="17"/>
  <c r="U58" i="17"/>
  <c r="T58" i="17"/>
  <c r="S58" i="17"/>
  <c r="U57" i="17"/>
  <c r="T57" i="17"/>
  <c r="S57" i="17"/>
  <c r="U56" i="17"/>
  <c r="T56" i="17"/>
  <c r="S56" i="17"/>
  <c r="U55" i="17"/>
  <c r="T55" i="17"/>
  <c r="S55" i="17"/>
  <c r="U54" i="17"/>
  <c r="T54" i="17"/>
  <c r="S54" i="17"/>
  <c r="U53" i="17"/>
  <c r="T53" i="17"/>
  <c r="S53" i="17"/>
  <c r="U52" i="17"/>
  <c r="T52" i="17"/>
  <c r="S52" i="17"/>
  <c r="U51" i="17"/>
  <c r="T51" i="17"/>
  <c r="S51" i="17"/>
  <c r="U50" i="17"/>
  <c r="T50" i="17"/>
  <c r="S50" i="17"/>
  <c r="U49" i="17"/>
  <c r="T49" i="17"/>
  <c r="S49" i="17"/>
  <c r="U48" i="17"/>
  <c r="T48" i="17"/>
  <c r="S48" i="17"/>
  <c r="U47" i="17"/>
  <c r="T47" i="17"/>
  <c r="S47" i="17"/>
  <c r="P47" i="17"/>
  <c r="U46" i="17"/>
  <c r="T46" i="17"/>
  <c r="S46" i="17"/>
  <c r="U45" i="17"/>
  <c r="T45" i="17"/>
  <c r="S45" i="17"/>
  <c r="U44" i="17"/>
  <c r="T44" i="17"/>
  <c r="S44" i="17"/>
  <c r="U43" i="17"/>
  <c r="T43" i="17"/>
  <c r="S43" i="17"/>
  <c r="H43" i="17"/>
  <c r="U42" i="17"/>
  <c r="T42" i="17"/>
  <c r="S42" i="17"/>
  <c r="U41" i="17"/>
  <c r="T41" i="17"/>
  <c r="S41" i="17"/>
  <c r="U40" i="17"/>
  <c r="T40" i="17"/>
  <c r="S40" i="17"/>
  <c r="U39" i="17"/>
  <c r="T39" i="17"/>
  <c r="S39" i="17"/>
  <c r="U38" i="17"/>
  <c r="T38" i="17"/>
  <c r="S38" i="17"/>
  <c r="U37" i="17"/>
  <c r="T37" i="17"/>
  <c r="S37" i="17"/>
  <c r="U36" i="17"/>
  <c r="T36" i="17"/>
  <c r="S36" i="17"/>
  <c r="U35" i="17"/>
  <c r="T35" i="17"/>
  <c r="S35" i="17"/>
  <c r="G35" i="17"/>
  <c r="U34" i="17"/>
  <c r="T34" i="17"/>
  <c r="S34" i="17"/>
  <c r="U33" i="17"/>
  <c r="T33" i="17"/>
  <c r="S33" i="17"/>
  <c r="R33" i="17"/>
  <c r="Q33" i="17"/>
  <c r="P33" i="17"/>
  <c r="M33" i="17"/>
  <c r="L33" i="17"/>
  <c r="J33" i="17"/>
  <c r="U32" i="17"/>
  <c r="T32" i="17"/>
  <c r="S32" i="17"/>
  <c r="U31" i="17"/>
  <c r="T31" i="17"/>
  <c r="S31" i="17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U18" i="17"/>
  <c r="T18" i="17"/>
  <c r="S18" i="17"/>
  <c r="U17" i="17"/>
  <c r="T17" i="17"/>
  <c r="S17" i="17"/>
  <c r="U16" i="17"/>
  <c r="T16" i="17"/>
  <c r="S16" i="17"/>
  <c r="U15" i="17"/>
  <c r="T15" i="17"/>
  <c r="S15" i="17"/>
  <c r="U14" i="17"/>
  <c r="T14" i="17"/>
  <c r="S14" i="17"/>
  <c r="U13" i="17"/>
  <c r="T13" i="17"/>
  <c r="S13" i="17"/>
  <c r="U12" i="17"/>
  <c r="T12" i="17"/>
  <c r="S12" i="17"/>
  <c r="U11" i="17"/>
  <c r="T11" i="17"/>
  <c r="S11" i="17"/>
  <c r="U10" i="17"/>
  <c r="T10" i="17"/>
  <c r="S10" i="17"/>
  <c r="U9" i="17"/>
  <c r="T9" i="17"/>
  <c r="S9" i="17"/>
  <c r="U8" i="17"/>
  <c r="T8" i="17"/>
  <c r="S8" i="17"/>
  <c r="U7" i="17"/>
  <c r="T7" i="17"/>
  <c r="S7" i="17"/>
  <c r="U6" i="17"/>
  <c r="T6" i="17"/>
  <c r="S6" i="17"/>
  <c r="U5" i="17"/>
  <c r="T5" i="17"/>
  <c r="S5" i="17"/>
  <c r="U4" i="17"/>
  <c r="T4" i="17"/>
  <c r="S4" i="17"/>
  <c r="U3" i="17"/>
  <c r="T3" i="17"/>
  <c r="S3" i="17"/>
  <c r="U2" i="17"/>
  <c r="T2" i="17"/>
  <c r="S2" i="17"/>
  <c r="S99" i="16"/>
  <c r="R99" i="16"/>
  <c r="Q99" i="16"/>
  <c r="P99" i="16"/>
  <c r="O99" i="16"/>
  <c r="N99" i="16"/>
  <c r="M99" i="16"/>
  <c r="L99" i="16"/>
  <c r="K99" i="16"/>
  <c r="J99" i="16"/>
  <c r="I99" i="16"/>
  <c r="H99" i="16"/>
  <c r="G99" i="16"/>
  <c r="S98" i="16"/>
  <c r="O98" i="16"/>
  <c r="N98" i="16"/>
  <c r="M98" i="16"/>
  <c r="L98" i="16"/>
  <c r="K98" i="16"/>
  <c r="J98" i="16"/>
  <c r="I98" i="16"/>
  <c r="H98" i="16"/>
  <c r="G98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S96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U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U83" i="16"/>
  <c r="T83" i="16"/>
  <c r="S83" i="16"/>
  <c r="U82" i="16"/>
  <c r="T82" i="16"/>
  <c r="S82" i="16"/>
  <c r="U81" i="16"/>
  <c r="T81" i="16"/>
  <c r="S81" i="16"/>
  <c r="U79" i="16"/>
  <c r="T79" i="16"/>
  <c r="S79" i="16"/>
  <c r="U78" i="16"/>
  <c r="T78" i="16"/>
  <c r="S78" i="16"/>
  <c r="U77" i="16"/>
  <c r="T77" i="16"/>
  <c r="S77" i="16"/>
  <c r="U76" i="16"/>
  <c r="T76" i="16"/>
  <c r="S76" i="16"/>
  <c r="U75" i="16"/>
  <c r="T75" i="16"/>
  <c r="S75" i="16"/>
  <c r="U74" i="16"/>
  <c r="T74" i="16"/>
  <c r="S74" i="16"/>
  <c r="U73" i="16"/>
  <c r="T73" i="16"/>
  <c r="S73" i="16"/>
  <c r="U72" i="16"/>
  <c r="T72" i="16"/>
  <c r="S72" i="16"/>
  <c r="U71" i="16"/>
  <c r="T71" i="16"/>
  <c r="S71" i="16"/>
  <c r="U70" i="16"/>
  <c r="T70" i="16"/>
  <c r="S70" i="16"/>
  <c r="U69" i="16"/>
  <c r="T69" i="16"/>
  <c r="S69" i="16"/>
  <c r="U68" i="16"/>
  <c r="T68" i="16"/>
  <c r="S68" i="16"/>
  <c r="U67" i="16"/>
  <c r="T67" i="16"/>
  <c r="S67" i="16"/>
  <c r="U66" i="16"/>
  <c r="T66" i="16"/>
  <c r="S66" i="16"/>
  <c r="U65" i="16"/>
  <c r="T65" i="16"/>
  <c r="S65" i="16"/>
  <c r="U64" i="16"/>
  <c r="T64" i="16"/>
  <c r="S64" i="16"/>
  <c r="U63" i="16"/>
  <c r="T63" i="16"/>
  <c r="S63" i="16"/>
  <c r="U62" i="16"/>
  <c r="T62" i="16"/>
  <c r="S62" i="16"/>
  <c r="U61" i="16"/>
  <c r="T61" i="16"/>
  <c r="S61" i="16"/>
  <c r="U60" i="16"/>
  <c r="T60" i="16"/>
  <c r="S60" i="16"/>
  <c r="U59" i="16"/>
  <c r="T59" i="16"/>
  <c r="S59" i="16"/>
  <c r="U58" i="16"/>
  <c r="T58" i="16"/>
  <c r="S58" i="16"/>
  <c r="U57" i="16"/>
  <c r="T57" i="16"/>
  <c r="S57" i="16"/>
  <c r="U56" i="16"/>
  <c r="T56" i="16"/>
  <c r="S56" i="16"/>
  <c r="U55" i="16"/>
  <c r="T55" i="16"/>
  <c r="S55" i="16"/>
  <c r="R55" i="16"/>
  <c r="K55" i="16"/>
  <c r="U54" i="16"/>
  <c r="T54" i="16"/>
  <c r="S54" i="16"/>
  <c r="U53" i="16"/>
  <c r="T53" i="16"/>
  <c r="S53" i="16"/>
  <c r="U52" i="16"/>
  <c r="T52" i="16"/>
  <c r="S52" i="16"/>
  <c r="U51" i="16"/>
  <c r="T51" i="16"/>
  <c r="S51" i="16"/>
  <c r="U50" i="16"/>
  <c r="T50" i="16"/>
  <c r="S50" i="16"/>
  <c r="U49" i="16"/>
  <c r="T49" i="16"/>
  <c r="S49" i="16"/>
  <c r="U48" i="16"/>
  <c r="T48" i="16"/>
  <c r="U47" i="16"/>
  <c r="T47" i="16"/>
  <c r="S47" i="16"/>
  <c r="U46" i="16"/>
  <c r="T46" i="16"/>
  <c r="S46" i="16"/>
  <c r="U45" i="16"/>
  <c r="T45" i="16"/>
  <c r="S45" i="16"/>
  <c r="R45" i="16"/>
  <c r="K45" i="16"/>
  <c r="U44" i="16"/>
  <c r="T44" i="16"/>
  <c r="S44" i="16"/>
  <c r="U43" i="16"/>
  <c r="T43" i="16"/>
  <c r="S43" i="16"/>
  <c r="U42" i="16"/>
  <c r="T42" i="16"/>
  <c r="S42" i="16"/>
  <c r="U41" i="16"/>
  <c r="T41" i="16"/>
  <c r="S41" i="16"/>
  <c r="U40" i="16"/>
  <c r="T40" i="16"/>
  <c r="S40" i="16"/>
  <c r="U39" i="16"/>
  <c r="T39" i="16"/>
  <c r="S39" i="16"/>
  <c r="U38" i="16"/>
  <c r="T38" i="16"/>
  <c r="S38" i="16"/>
  <c r="K38" i="16"/>
  <c r="J38" i="16"/>
  <c r="U37" i="16"/>
  <c r="T37" i="16"/>
  <c r="S37" i="16"/>
  <c r="U36" i="16"/>
  <c r="T36" i="16"/>
  <c r="S36" i="16"/>
  <c r="P36" i="16"/>
  <c r="U35" i="16"/>
  <c r="T35" i="16"/>
  <c r="S35" i="16"/>
  <c r="R34" i="16"/>
  <c r="K34" i="16"/>
  <c r="U33" i="16"/>
  <c r="T33" i="16"/>
  <c r="S33" i="16"/>
  <c r="U32" i="16"/>
  <c r="T32" i="16"/>
  <c r="S32" i="16"/>
  <c r="U31" i="16"/>
  <c r="T31" i="16"/>
  <c r="S31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U18" i="16"/>
  <c r="T18" i="16"/>
  <c r="S18" i="16"/>
  <c r="U17" i="16"/>
  <c r="T17" i="16"/>
  <c r="S17" i="16"/>
  <c r="U16" i="16"/>
  <c r="T16" i="16"/>
  <c r="S16" i="16"/>
  <c r="U15" i="16"/>
  <c r="T15" i="16"/>
  <c r="S15" i="16"/>
  <c r="U14" i="16"/>
  <c r="T14" i="16"/>
  <c r="S14" i="16"/>
  <c r="U13" i="16"/>
  <c r="T13" i="16"/>
  <c r="S13" i="16"/>
  <c r="U12" i="16"/>
  <c r="T12" i="16"/>
  <c r="S12" i="16"/>
  <c r="U11" i="16"/>
  <c r="T11" i="16"/>
  <c r="S11" i="16"/>
  <c r="U10" i="16"/>
  <c r="T10" i="16"/>
  <c r="S10" i="16"/>
  <c r="P10" i="16"/>
  <c r="U9" i="16"/>
  <c r="T9" i="16"/>
  <c r="S9" i="16"/>
  <c r="U8" i="16"/>
  <c r="T8" i="16"/>
  <c r="S8" i="16"/>
  <c r="U7" i="16"/>
  <c r="T7" i="16"/>
  <c r="S7" i="16"/>
  <c r="U6" i="16"/>
  <c r="T6" i="16"/>
  <c r="S6" i="16"/>
  <c r="U5" i="16"/>
  <c r="T5" i="16"/>
  <c r="S5" i="16"/>
  <c r="U3" i="16"/>
  <c r="T3" i="16"/>
  <c r="S3" i="16"/>
  <c r="U2" i="16"/>
  <c r="T2" i="16"/>
  <c r="S2" i="16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F100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S98" i="15"/>
  <c r="R98" i="15"/>
  <c r="Q98" i="15"/>
  <c r="P98" i="15"/>
  <c r="O98" i="15"/>
  <c r="N98" i="15"/>
  <c r="M98" i="15"/>
  <c r="L98" i="15"/>
  <c r="K98" i="15"/>
  <c r="J98" i="15"/>
  <c r="I98" i="15"/>
  <c r="H98" i="15"/>
  <c r="F98" i="15"/>
  <c r="S97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F93" i="15"/>
  <c r="S92" i="15"/>
  <c r="R92" i="15"/>
  <c r="Q92" i="15"/>
  <c r="P92" i="15"/>
  <c r="O92" i="15"/>
  <c r="N92" i="15"/>
  <c r="M92" i="15"/>
  <c r="L92" i="15"/>
  <c r="K92" i="15"/>
  <c r="J92" i="15"/>
  <c r="I92" i="15"/>
  <c r="H92" i="15"/>
  <c r="F92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F91" i="15"/>
  <c r="S90" i="15"/>
  <c r="R90" i="15"/>
  <c r="Q90" i="15"/>
  <c r="P90" i="15"/>
  <c r="O90" i="15"/>
  <c r="N90" i="15"/>
  <c r="M90" i="15"/>
  <c r="L90" i="15"/>
  <c r="K90" i="15"/>
  <c r="J90" i="15"/>
  <c r="I90" i="15"/>
  <c r="H90" i="15"/>
  <c r="F90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F89" i="15"/>
  <c r="S88" i="15"/>
  <c r="Q88" i="15"/>
  <c r="P88" i="15"/>
  <c r="O88" i="15"/>
  <c r="N88" i="15"/>
  <c r="M88" i="15"/>
  <c r="L88" i="15"/>
  <c r="K88" i="15"/>
  <c r="J88" i="15"/>
  <c r="S87" i="15"/>
  <c r="R87" i="15"/>
  <c r="Q87" i="15"/>
  <c r="P87" i="15"/>
  <c r="O87" i="15"/>
  <c r="N87" i="15"/>
  <c r="M87" i="15"/>
  <c r="L87" i="15"/>
  <c r="K87" i="15"/>
  <c r="J87" i="15"/>
  <c r="I87" i="15"/>
  <c r="U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F86" i="15"/>
  <c r="U84" i="15"/>
  <c r="T84" i="15"/>
  <c r="S84" i="15"/>
  <c r="U83" i="15"/>
  <c r="T83" i="15"/>
  <c r="S83" i="15"/>
  <c r="N83" i="15"/>
  <c r="U82" i="15"/>
  <c r="T82" i="15"/>
  <c r="S82" i="15"/>
  <c r="U81" i="15"/>
  <c r="T81" i="15"/>
  <c r="S81" i="15"/>
  <c r="U80" i="15"/>
  <c r="T80" i="15"/>
  <c r="S80" i="15"/>
  <c r="U79" i="15"/>
  <c r="T79" i="15"/>
  <c r="S79" i="15"/>
  <c r="U78" i="15"/>
  <c r="T78" i="15"/>
  <c r="S78" i="15"/>
  <c r="U77" i="15"/>
  <c r="T77" i="15"/>
  <c r="S77" i="15"/>
  <c r="U76" i="15"/>
  <c r="T76" i="15"/>
  <c r="S76" i="15"/>
  <c r="U75" i="15"/>
  <c r="T75" i="15"/>
  <c r="S75" i="15"/>
  <c r="U74" i="15"/>
  <c r="T74" i="15"/>
  <c r="S74" i="15"/>
  <c r="U73" i="15"/>
  <c r="T73" i="15"/>
  <c r="S73" i="15"/>
  <c r="V71" i="15"/>
  <c r="U71" i="15"/>
  <c r="T71" i="15"/>
  <c r="S71" i="15"/>
  <c r="P71" i="15"/>
  <c r="U70" i="15"/>
  <c r="T70" i="15"/>
  <c r="S70" i="15"/>
  <c r="U69" i="15"/>
  <c r="T69" i="15"/>
  <c r="S69" i="15"/>
  <c r="U68" i="15"/>
  <c r="T68" i="15"/>
  <c r="S68" i="15"/>
  <c r="U67" i="15"/>
  <c r="T67" i="15"/>
  <c r="S67" i="15"/>
  <c r="U66" i="15"/>
  <c r="T66" i="15"/>
  <c r="S66" i="15"/>
  <c r="U65" i="15"/>
  <c r="T65" i="15"/>
  <c r="S65" i="15"/>
  <c r="U64" i="15"/>
  <c r="T64" i="15"/>
  <c r="S64" i="15"/>
  <c r="U63" i="15"/>
  <c r="T63" i="15"/>
  <c r="S63" i="15"/>
  <c r="U62" i="15"/>
  <c r="T62" i="15"/>
  <c r="S62" i="15"/>
  <c r="U61" i="15"/>
  <c r="T61" i="15"/>
  <c r="S61" i="15"/>
  <c r="U60" i="15"/>
  <c r="T60" i="15"/>
  <c r="S60" i="15"/>
  <c r="N59" i="15"/>
  <c r="U58" i="15"/>
  <c r="T58" i="15"/>
  <c r="S58" i="15"/>
  <c r="U57" i="15"/>
  <c r="T57" i="15"/>
  <c r="S57" i="15"/>
  <c r="U56" i="15"/>
  <c r="T56" i="15"/>
  <c r="S56" i="15"/>
  <c r="U55" i="15"/>
  <c r="T55" i="15"/>
  <c r="S55" i="15"/>
  <c r="U54" i="15"/>
  <c r="T54" i="15"/>
  <c r="S54" i="15"/>
  <c r="U53" i="15"/>
  <c r="T53" i="15"/>
  <c r="S53" i="15"/>
  <c r="U52" i="15"/>
  <c r="T52" i="15"/>
  <c r="S52" i="15"/>
  <c r="U51" i="15"/>
  <c r="T51" i="15"/>
  <c r="S51" i="15"/>
  <c r="U50" i="15"/>
  <c r="T50" i="15"/>
  <c r="S50" i="15"/>
  <c r="U49" i="15"/>
  <c r="T49" i="15"/>
  <c r="S49" i="15"/>
  <c r="U48" i="15"/>
  <c r="T48" i="15"/>
  <c r="S48" i="15"/>
  <c r="I48" i="15"/>
  <c r="H48" i="15"/>
  <c r="U47" i="15"/>
  <c r="T47" i="15"/>
  <c r="S47" i="15"/>
  <c r="U46" i="15"/>
  <c r="T46" i="15"/>
  <c r="S46" i="15"/>
  <c r="U45" i="15"/>
  <c r="T45" i="15"/>
  <c r="S45" i="15"/>
  <c r="U44" i="15"/>
  <c r="T44" i="15"/>
  <c r="S44" i="15"/>
  <c r="F44" i="15"/>
  <c r="U43" i="15"/>
  <c r="T43" i="15"/>
  <c r="S43" i="15"/>
  <c r="U42" i="15"/>
  <c r="T42" i="15"/>
  <c r="S42" i="15"/>
  <c r="U41" i="15"/>
  <c r="T41" i="15"/>
  <c r="S41" i="15"/>
  <c r="U40" i="15"/>
  <c r="T40" i="15"/>
  <c r="S40" i="15"/>
  <c r="U39" i="15"/>
  <c r="T39" i="15"/>
  <c r="S39" i="15"/>
  <c r="U38" i="15"/>
  <c r="T38" i="15"/>
  <c r="S38" i="15"/>
  <c r="U37" i="15"/>
  <c r="T37" i="15"/>
  <c r="S37" i="15"/>
  <c r="U36" i="15"/>
  <c r="T36" i="15"/>
  <c r="S36" i="15"/>
  <c r="I36" i="15"/>
  <c r="U35" i="15"/>
  <c r="T35" i="15"/>
  <c r="S35" i="15"/>
  <c r="U34" i="15"/>
  <c r="T34" i="15"/>
  <c r="S34" i="15"/>
  <c r="U33" i="15"/>
  <c r="T33" i="15"/>
  <c r="S33" i="15"/>
  <c r="Q33" i="15"/>
  <c r="U32" i="15"/>
  <c r="T32" i="15"/>
  <c r="S32" i="15"/>
  <c r="U31" i="15"/>
  <c r="T31" i="15"/>
  <c r="S31" i="15"/>
  <c r="V29" i="15"/>
  <c r="U29" i="15"/>
  <c r="T29" i="15"/>
  <c r="S29" i="15"/>
  <c r="P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U18" i="15"/>
  <c r="T18" i="15"/>
  <c r="S18" i="15"/>
  <c r="U17" i="15"/>
  <c r="T17" i="15"/>
  <c r="S17" i="15"/>
  <c r="U16" i="15"/>
  <c r="T16" i="15"/>
  <c r="S16" i="15"/>
  <c r="U15" i="15"/>
  <c r="T15" i="15"/>
  <c r="S15" i="15"/>
  <c r="F15" i="15"/>
  <c r="U14" i="15"/>
  <c r="T14" i="15"/>
  <c r="S14" i="15"/>
  <c r="U13" i="15"/>
  <c r="T13" i="15"/>
  <c r="S13" i="15"/>
  <c r="U12" i="15"/>
  <c r="T12" i="15"/>
  <c r="S12" i="15"/>
  <c r="U11" i="15"/>
  <c r="T11" i="15"/>
  <c r="S11" i="15"/>
  <c r="U10" i="15"/>
  <c r="T10" i="15"/>
  <c r="S10" i="15"/>
  <c r="F10" i="15"/>
  <c r="U9" i="15"/>
  <c r="T9" i="15"/>
  <c r="S9" i="15"/>
  <c r="H9" i="15"/>
  <c r="F9" i="15"/>
  <c r="U8" i="15"/>
  <c r="T8" i="15"/>
  <c r="S8" i="15"/>
  <c r="U7" i="15"/>
  <c r="T7" i="15"/>
  <c r="S7" i="15"/>
  <c r="F7" i="15"/>
  <c r="U6" i="15"/>
  <c r="T6" i="15"/>
  <c r="S6" i="15"/>
  <c r="U5" i="15"/>
  <c r="T5" i="15"/>
  <c r="S5" i="15"/>
  <c r="U4" i="15"/>
  <c r="T4" i="15"/>
  <c r="S4" i="15"/>
  <c r="U3" i="15"/>
  <c r="T3" i="15"/>
  <c r="S3" i="15"/>
  <c r="U2" i="15"/>
  <c r="S2" i="15"/>
  <c r="S96" i="14"/>
  <c r="R96" i="14"/>
  <c r="Q96" i="14"/>
  <c r="P96" i="14"/>
  <c r="O96" i="14"/>
  <c r="N96" i="14"/>
  <c r="M96" i="14"/>
  <c r="L96" i="14"/>
  <c r="K96" i="14"/>
  <c r="J96" i="14"/>
  <c r="I96" i="14"/>
  <c r="H96" i="14"/>
  <c r="F96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F95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F94" i="14"/>
  <c r="S93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F89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F88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F87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F86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F85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F84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F83" i="14"/>
  <c r="U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F82" i="14"/>
  <c r="U80" i="14"/>
  <c r="T80" i="14"/>
  <c r="S80" i="14"/>
  <c r="U79" i="14"/>
  <c r="T79" i="14"/>
  <c r="S79" i="14"/>
  <c r="U78" i="14"/>
  <c r="T78" i="14"/>
  <c r="S78" i="14"/>
  <c r="U77" i="14"/>
  <c r="T77" i="14"/>
  <c r="S77" i="14"/>
  <c r="U76" i="14"/>
  <c r="T76" i="14"/>
  <c r="S76" i="14"/>
  <c r="U75" i="14"/>
  <c r="T75" i="14"/>
  <c r="S75" i="14"/>
  <c r="U74" i="14"/>
  <c r="T74" i="14"/>
  <c r="S74" i="14"/>
  <c r="U73" i="14"/>
  <c r="T73" i="14"/>
  <c r="S73" i="14"/>
  <c r="U72" i="14"/>
  <c r="T72" i="14"/>
  <c r="S72" i="14"/>
  <c r="U71" i="14"/>
  <c r="T71" i="14"/>
  <c r="S71" i="14"/>
  <c r="U70" i="14"/>
  <c r="T70" i="14"/>
  <c r="S70" i="14"/>
  <c r="U69" i="14"/>
  <c r="T69" i="14"/>
  <c r="S69" i="14"/>
  <c r="U68" i="14"/>
  <c r="T68" i="14"/>
  <c r="S68" i="14"/>
  <c r="U67" i="14"/>
  <c r="T67" i="14"/>
  <c r="S67" i="14"/>
  <c r="U66" i="14"/>
  <c r="T66" i="14"/>
  <c r="S66" i="14"/>
  <c r="U65" i="14"/>
  <c r="T65" i="14"/>
  <c r="S65" i="14"/>
  <c r="U64" i="14"/>
  <c r="T64" i="14"/>
  <c r="S64" i="14"/>
  <c r="U63" i="14"/>
  <c r="T63" i="14"/>
  <c r="S63" i="14"/>
  <c r="U62" i="14"/>
  <c r="T62" i="14"/>
  <c r="S62" i="14"/>
  <c r="U61" i="14"/>
  <c r="T61" i="14"/>
  <c r="S61" i="14"/>
  <c r="F61" i="14"/>
  <c r="U60" i="14"/>
  <c r="T60" i="14"/>
  <c r="S60" i="14"/>
  <c r="U59" i="14"/>
  <c r="T59" i="14"/>
  <c r="S59" i="14"/>
  <c r="U58" i="14"/>
  <c r="T58" i="14"/>
  <c r="S58" i="14"/>
  <c r="U57" i="14"/>
  <c r="T57" i="14"/>
  <c r="S57" i="14"/>
  <c r="U56" i="14"/>
  <c r="T56" i="14"/>
  <c r="S56" i="14"/>
  <c r="U55" i="14"/>
  <c r="T55" i="14"/>
  <c r="S55" i="14"/>
  <c r="U54" i="14"/>
  <c r="T54" i="14"/>
  <c r="S54" i="14"/>
  <c r="U53" i="14"/>
  <c r="T53" i="14"/>
  <c r="S53" i="14"/>
  <c r="U52" i="14"/>
  <c r="T52" i="14"/>
  <c r="S52" i="14"/>
  <c r="Q52" i="14"/>
  <c r="H52" i="14"/>
  <c r="F52" i="14"/>
  <c r="U51" i="14"/>
  <c r="T51" i="14"/>
  <c r="S51" i="14"/>
  <c r="U50" i="14"/>
  <c r="T50" i="14"/>
  <c r="S50" i="14"/>
  <c r="U49" i="14"/>
  <c r="T49" i="14"/>
  <c r="S49" i="14"/>
  <c r="U48" i="14"/>
  <c r="T48" i="14"/>
  <c r="S48" i="14"/>
  <c r="U47" i="14"/>
  <c r="T47" i="14"/>
  <c r="S47" i="14"/>
  <c r="O47" i="14"/>
  <c r="U46" i="14"/>
  <c r="T46" i="14"/>
  <c r="S46" i="14"/>
  <c r="U45" i="14"/>
  <c r="T45" i="14"/>
  <c r="S45" i="14"/>
  <c r="U44" i="14"/>
  <c r="T44" i="14"/>
  <c r="S44" i="14"/>
  <c r="U43" i="14"/>
  <c r="T43" i="14"/>
  <c r="S43" i="14"/>
  <c r="I43" i="14"/>
  <c r="H43" i="14"/>
  <c r="F43" i="14"/>
  <c r="U42" i="14"/>
  <c r="T42" i="14"/>
  <c r="S42" i="14"/>
  <c r="U41" i="14"/>
  <c r="T41" i="14"/>
  <c r="S41" i="14"/>
  <c r="U40" i="14"/>
  <c r="T40" i="14"/>
  <c r="S40" i="14"/>
  <c r="U39" i="14"/>
  <c r="T39" i="14"/>
  <c r="S39" i="14"/>
  <c r="U38" i="14"/>
  <c r="T38" i="14"/>
  <c r="S38" i="14"/>
  <c r="U37" i="14"/>
  <c r="T37" i="14"/>
  <c r="S37" i="14"/>
  <c r="U36" i="14"/>
  <c r="T36" i="14"/>
  <c r="S36" i="14"/>
  <c r="U35" i="14"/>
  <c r="T35" i="14"/>
  <c r="S35" i="14"/>
  <c r="U34" i="14"/>
  <c r="T34" i="14"/>
  <c r="S34" i="14"/>
  <c r="U33" i="14"/>
  <c r="T33" i="14"/>
  <c r="S33" i="14"/>
  <c r="U32" i="14"/>
  <c r="T32" i="14"/>
  <c r="S32" i="14"/>
  <c r="F32" i="14"/>
  <c r="U31" i="14"/>
  <c r="T31" i="14"/>
  <c r="S31" i="14"/>
  <c r="U30" i="14"/>
  <c r="T30" i="14"/>
  <c r="S30" i="14"/>
  <c r="U29" i="14"/>
  <c r="T29" i="14"/>
  <c r="S29" i="14"/>
  <c r="U28" i="14"/>
  <c r="T28" i="14"/>
  <c r="S28" i="14"/>
  <c r="I28" i="14"/>
  <c r="U27" i="14"/>
  <c r="T27" i="14"/>
  <c r="S27" i="14"/>
  <c r="M27" i="14"/>
  <c r="L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U18" i="14"/>
  <c r="T18" i="14"/>
  <c r="S18" i="14"/>
  <c r="U17" i="14"/>
  <c r="T17" i="14"/>
  <c r="S17" i="14"/>
  <c r="U16" i="14"/>
  <c r="T16" i="14"/>
  <c r="S16" i="14"/>
  <c r="U14" i="14"/>
  <c r="T14" i="14"/>
  <c r="S14" i="14"/>
  <c r="U13" i="14"/>
  <c r="T13" i="14"/>
  <c r="S13" i="14"/>
  <c r="Q13" i="14"/>
  <c r="H13" i="14"/>
  <c r="F13" i="14"/>
  <c r="U12" i="14"/>
  <c r="T12" i="14"/>
  <c r="S12" i="14"/>
  <c r="U11" i="14"/>
  <c r="T11" i="14"/>
  <c r="S11" i="14"/>
  <c r="U10" i="14"/>
  <c r="T10" i="14"/>
  <c r="S10" i="14"/>
  <c r="U9" i="14"/>
  <c r="T9" i="14"/>
  <c r="S9" i="14"/>
  <c r="U8" i="14"/>
  <c r="T8" i="14"/>
  <c r="S8" i="14"/>
  <c r="U7" i="14"/>
  <c r="T7" i="14"/>
  <c r="S7" i="14"/>
  <c r="U6" i="14"/>
  <c r="T6" i="14"/>
  <c r="S6" i="14"/>
  <c r="U5" i="14"/>
  <c r="T5" i="14"/>
  <c r="S5" i="14"/>
  <c r="U4" i="14"/>
  <c r="T4" i="14"/>
  <c r="S4" i="14"/>
  <c r="U3" i="14"/>
  <c r="T3" i="14"/>
  <c r="S3" i="14"/>
  <c r="U2" i="14"/>
  <c r="S2" i="14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R98" i="13"/>
  <c r="L96" i="13"/>
  <c r="L95" i="13"/>
  <c r="L94" i="13"/>
  <c r="L93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R83" i="13"/>
  <c r="Q83" i="13"/>
  <c r="P83" i="13"/>
  <c r="O83" i="13"/>
  <c r="N83" i="13"/>
  <c r="M83" i="13"/>
  <c r="L83" i="13"/>
  <c r="K83" i="13"/>
  <c r="J83" i="13"/>
  <c r="I83" i="13"/>
  <c r="H83" i="13"/>
  <c r="R82" i="13"/>
  <c r="Q82" i="13"/>
  <c r="P82" i="13"/>
  <c r="O82" i="13"/>
  <c r="N82" i="13"/>
  <c r="M82" i="13"/>
  <c r="L82" i="13"/>
  <c r="K82" i="13"/>
  <c r="J82" i="13"/>
  <c r="I82" i="13"/>
  <c r="H82" i="13"/>
  <c r="F82" i="13"/>
  <c r="T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T79" i="13"/>
  <c r="S79" i="13"/>
  <c r="R79" i="13"/>
  <c r="T78" i="13"/>
  <c r="S78" i="13"/>
  <c r="R78" i="13"/>
  <c r="T77" i="13"/>
  <c r="S77" i="13"/>
  <c r="R77" i="13"/>
  <c r="J77" i="13"/>
  <c r="T76" i="13"/>
  <c r="S76" i="13"/>
  <c r="R76" i="13"/>
  <c r="R75" i="13"/>
  <c r="Q75" i="13"/>
  <c r="T74" i="13"/>
  <c r="S74" i="13"/>
  <c r="R74" i="13"/>
  <c r="T73" i="13"/>
  <c r="S73" i="13"/>
  <c r="R73" i="13"/>
  <c r="R72" i="13"/>
  <c r="T71" i="13"/>
  <c r="S71" i="13"/>
  <c r="R71" i="13"/>
  <c r="I71" i="13"/>
  <c r="T70" i="13"/>
  <c r="S70" i="13"/>
  <c r="R70" i="13"/>
  <c r="I70" i="13"/>
  <c r="T69" i="13"/>
  <c r="S69" i="13"/>
  <c r="R69" i="13"/>
  <c r="T68" i="13"/>
  <c r="S68" i="13"/>
  <c r="R68" i="13"/>
  <c r="T67" i="13"/>
  <c r="S67" i="13"/>
  <c r="R67" i="13"/>
  <c r="T66" i="13"/>
  <c r="S66" i="13"/>
  <c r="R66" i="13"/>
  <c r="T65" i="13"/>
  <c r="S65" i="13"/>
  <c r="R65" i="13"/>
  <c r="T64" i="13"/>
  <c r="S64" i="13"/>
  <c r="R64" i="13"/>
  <c r="R63" i="13"/>
  <c r="T62" i="13"/>
  <c r="S62" i="13"/>
  <c r="R62" i="13"/>
  <c r="F62" i="13"/>
  <c r="R61" i="13"/>
  <c r="T60" i="13"/>
  <c r="S60" i="13"/>
  <c r="R60" i="13"/>
  <c r="T59" i="13"/>
  <c r="S59" i="13"/>
  <c r="R59" i="13"/>
  <c r="T58" i="13"/>
  <c r="S58" i="13"/>
  <c r="R58" i="13"/>
  <c r="T57" i="13"/>
  <c r="S57" i="13"/>
  <c r="R57" i="13"/>
  <c r="F57" i="13"/>
  <c r="T56" i="13"/>
  <c r="S56" i="13"/>
  <c r="R56" i="13"/>
  <c r="T55" i="13"/>
  <c r="S55" i="13"/>
  <c r="R55" i="13"/>
  <c r="T54" i="13"/>
  <c r="S54" i="13"/>
  <c r="R54" i="13"/>
  <c r="T53" i="13"/>
  <c r="S53" i="13"/>
  <c r="R53" i="13"/>
  <c r="T52" i="13"/>
  <c r="S52" i="13"/>
  <c r="R52" i="13"/>
  <c r="T51" i="13"/>
  <c r="S51" i="13"/>
  <c r="R51" i="13"/>
  <c r="T50" i="13"/>
  <c r="S50" i="13"/>
  <c r="R50" i="13"/>
  <c r="T49" i="13"/>
  <c r="S49" i="13"/>
  <c r="R49" i="13"/>
  <c r="T48" i="13"/>
  <c r="S48" i="13"/>
  <c r="R48" i="13"/>
  <c r="T47" i="13"/>
  <c r="S47" i="13"/>
  <c r="R47" i="13"/>
  <c r="T46" i="13"/>
  <c r="S46" i="13"/>
  <c r="R46" i="13"/>
  <c r="T45" i="13"/>
  <c r="S45" i="13"/>
  <c r="R45" i="13"/>
  <c r="T44" i="13"/>
  <c r="S44" i="13"/>
  <c r="R44" i="13"/>
  <c r="T43" i="13"/>
  <c r="S43" i="13"/>
  <c r="R43" i="13"/>
  <c r="T42" i="13"/>
  <c r="S42" i="13"/>
  <c r="R42" i="13"/>
  <c r="T41" i="13"/>
  <c r="S41" i="13"/>
  <c r="R41" i="13"/>
  <c r="T40" i="13"/>
  <c r="S40" i="13"/>
  <c r="R40" i="13"/>
  <c r="T39" i="13"/>
  <c r="S39" i="13"/>
  <c r="R39" i="13"/>
  <c r="T38" i="13"/>
  <c r="S38" i="13"/>
  <c r="R38" i="13"/>
  <c r="T37" i="13"/>
  <c r="S37" i="13"/>
  <c r="R37" i="13"/>
  <c r="T36" i="13"/>
  <c r="S36" i="13"/>
  <c r="R36" i="13"/>
  <c r="T35" i="13"/>
  <c r="S35" i="13"/>
  <c r="R35" i="13"/>
  <c r="T34" i="13"/>
  <c r="S34" i="13"/>
  <c r="R34" i="13"/>
  <c r="T33" i="13"/>
  <c r="S33" i="13"/>
  <c r="R33" i="13"/>
  <c r="T32" i="13"/>
  <c r="S32" i="13"/>
  <c r="R32" i="13"/>
  <c r="T31" i="13"/>
  <c r="S31" i="13"/>
  <c r="R31" i="13"/>
  <c r="T30" i="13"/>
  <c r="S30" i="13"/>
  <c r="R30" i="13"/>
  <c r="T29" i="13"/>
  <c r="S29" i="13"/>
  <c r="R29" i="13"/>
  <c r="T28" i="13"/>
  <c r="S28" i="13"/>
  <c r="R28" i="13"/>
  <c r="T27" i="13"/>
  <c r="S27" i="13"/>
  <c r="R27" i="13"/>
  <c r="T26" i="13"/>
  <c r="S26" i="13"/>
  <c r="R26" i="13"/>
  <c r="T25" i="13"/>
  <c r="S25" i="13"/>
  <c r="R25" i="13"/>
  <c r="T24" i="13"/>
  <c r="S24" i="13"/>
  <c r="R24" i="13"/>
  <c r="T23" i="13"/>
  <c r="S23" i="13"/>
  <c r="R23" i="13"/>
  <c r="P23" i="13"/>
  <c r="T22" i="13"/>
  <c r="S22" i="13"/>
  <c r="R22" i="13"/>
  <c r="T21" i="13"/>
  <c r="S21" i="13"/>
  <c r="R21" i="13"/>
  <c r="I21" i="13"/>
  <c r="T20" i="13"/>
  <c r="S20" i="13"/>
  <c r="R20" i="13"/>
  <c r="T19" i="13"/>
  <c r="S19" i="13"/>
  <c r="R19" i="13"/>
  <c r="T18" i="13"/>
  <c r="S18" i="13"/>
  <c r="R18" i="13"/>
  <c r="T17" i="13"/>
  <c r="S17" i="13"/>
  <c r="R17" i="13"/>
  <c r="T16" i="13"/>
  <c r="S16" i="13"/>
  <c r="R16" i="13"/>
  <c r="T15" i="13"/>
  <c r="S15" i="13"/>
  <c r="R15" i="13"/>
  <c r="T14" i="13"/>
  <c r="S14" i="13"/>
  <c r="R14" i="13"/>
  <c r="F14" i="13"/>
  <c r="T13" i="13"/>
  <c r="S13" i="13"/>
  <c r="R13" i="13"/>
  <c r="T12" i="13"/>
  <c r="S12" i="13"/>
  <c r="R12" i="13"/>
  <c r="T11" i="13"/>
  <c r="S11" i="13"/>
  <c r="R11" i="13"/>
  <c r="T10" i="13"/>
  <c r="S10" i="13"/>
  <c r="R10" i="13"/>
  <c r="T9" i="13"/>
  <c r="S9" i="13"/>
  <c r="R9" i="13"/>
  <c r="T8" i="13"/>
  <c r="S8" i="13"/>
  <c r="R8" i="13"/>
  <c r="T7" i="13"/>
  <c r="S7" i="13"/>
  <c r="R7" i="13"/>
  <c r="T6" i="13"/>
  <c r="S6" i="13"/>
  <c r="R6" i="13"/>
  <c r="O6" i="13"/>
  <c r="T5" i="13"/>
  <c r="S5" i="13"/>
  <c r="R5" i="13"/>
  <c r="T4" i="13"/>
  <c r="S4" i="13"/>
  <c r="R4" i="13"/>
  <c r="T3" i="13"/>
  <c r="S3" i="13"/>
  <c r="R3" i="13"/>
  <c r="T2" i="13"/>
  <c r="R2" i="13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R88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Q79" i="12"/>
  <c r="N79" i="12"/>
  <c r="L79" i="12"/>
  <c r="K79" i="12"/>
  <c r="J79" i="12"/>
  <c r="I79" i="12"/>
  <c r="H79" i="12"/>
  <c r="G79" i="12"/>
  <c r="F79" i="12"/>
  <c r="K78" i="12"/>
  <c r="J78" i="12"/>
  <c r="I78" i="12"/>
  <c r="H78" i="12"/>
  <c r="G78" i="12"/>
  <c r="F78" i="12"/>
  <c r="T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T75" i="12"/>
  <c r="S75" i="12"/>
  <c r="R75" i="12"/>
  <c r="T74" i="12"/>
  <c r="S74" i="12"/>
  <c r="R74" i="12"/>
  <c r="T73" i="12"/>
  <c r="S73" i="12"/>
  <c r="R73" i="12"/>
  <c r="P73" i="12"/>
  <c r="L73" i="12"/>
  <c r="J73" i="12"/>
  <c r="T72" i="12"/>
  <c r="S72" i="12"/>
  <c r="R72" i="12"/>
  <c r="T71" i="12"/>
  <c r="S71" i="12"/>
  <c r="R71" i="12"/>
  <c r="T70" i="12"/>
  <c r="S70" i="12"/>
  <c r="R70" i="12"/>
  <c r="N70" i="12"/>
  <c r="M70" i="12"/>
  <c r="T69" i="12"/>
  <c r="S69" i="12"/>
  <c r="R69" i="12"/>
  <c r="T68" i="12"/>
  <c r="S68" i="12"/>
  <c r="R68" i="12"/>
  <c r="T66" i="12"/>
  <c r="S66" i="12"/>
  <c r="R66" i="12"/>
  <c r="T65" i="12"/>
  <c r="S65" i="12"/>
  <c r="R65" i="12"/>
  <c r="T64" i="12"/>
  <c r="S64" i="12"/>
  <c r="R64" i="12"/>
  <c r="T63" i="12"/>
  <c r="S63" i="12"/>
  <c r="R63" i="12"/>
  <c r="T62" i="12"/>
  <c r="S62" i="12"/>
  <c r="R62" i="12"/>
  <c r="T61" i="12"/>
  <c r="S61" i="12"/>
  <c r="R61" i="12"/>
  <c r="T60" i="12"/>
  <c r="S60" i="12"/>
  <c r="R60" i="12"/>
  <c r="T59" i="12"/>
  <c r="S59" i="12"/>
  <c r="R59" i="12"/>
  <c r="T58" i="12"/>
  <c r="S58" i="12"/>
  <c r="R58" i="12"/>
  <c r="M58" i="12"/>
  <c r="T57" i="12"/>
  <c r="S57" i="12"/>
  <c r="R57" i="12"/>
  <c r="N57" i="12"/>
  <c r="M57" i="12"/>
  <c r="T56" i="12"/>
  <c r="S56" i="12"/>
  <c r="R56" i="12"/>
  <c r="T55" i="12"/>
  <c r="S55" i="12"/>
  <c r="R55" i="12"/>
  <c r="T54" i="12"/>
  <c r="S54" i="12"/>
  <c r="R54" i="12"/>
  <c r="T53" i="12"/>
  <c r="S53" i="12"/>
  <c r="R53" i="12"/>
  <c r="J53" i="12"/>
  <c r="T52" i="12"/>
  <c r="S52" i="12"/>
  <c r="R52" i="12"/>
  <c r="T51" i="12"/>
  <c r="S51" i="12"/>
  <c r="R51" i="12"/>
  <c r="T50" i="12"/>
  <c r="S50" i="12"/>
  <c r="R50" i="12"/>
  <c r="T49" i="12"/>
  <c r="S49" i="12"/>
  <c r="R49" i="12"/>
  <c r="T48" i="12"/>
  <c r="S48" i="12"/>
  <c r="R48" i="12"/>
  <c r="T47" i="12"/>
  <c r="S47" i="12"/>
  <c r="R47" i="12"/>
  <c r="T46" i="12"/>
  <c r="S46" i="12"/>
  <c r="R46" i="12"/>
  <c r="T45" i="12"/>
  <c r="S45" i="12"/>
  <c r="R45" i="12"/>
  <c r="T44" i="12"/>
  <c r="S44" i="12"/>
  <c r="R44" i="12"/>
  <c r="T43" i="12"/>
  <c r="S43" i="12"/>
  <c r="R43" i="12"/>
  <c r="T42" i="12"/>
  <c r="S42" i="12"/>
  <c r="R42" i="12"/>
  <c r="T41" i="12"/>
  <c r="S41" i="12"/>
  <c r="R41" i="12"/>
  <c r="T40" i="12"/>
  <c r="S40" i="12"/>
  <c r="R40" i="12"/>
  <c r="T39" i="12"/>
  <c r="S39" i="12"/>
  <c r="R39" i="12"/>
  <c r="T38" i="12"/>
  <c r="S38" i="12"/>
  <c r="R38" i="12"/>
  <c r="T36" i="12"/>
  <c r="S36" i="12"/>
  <c r="R36" i="12"/>
  <c r="T35" i="12"/>
  <c r="S35" i="12"/>
  <c r="R35" i="12"/>
  <c r="T34" i="12"/>
  <c r="S34" i="12"/>
  <c r="R34" i="12"/>
  <c r="T33" i="12"/>
  <c r="S33" i="12"/>
  <c r="R33" i="12"/>
  <c r="T32" i="12"/>
  <c r="S32" i="12"/>
  <c r="R32" i="12"/>
  <c r="T31" i="12"/>
  <c r="S31" i="12"/>
  <c r="R31" i="12"/>
  <c r="N31" i="12"/>
  <c r="T30" i="12"/>
  <c r="S30" i="12"/>
  <c r="R30" i="12"/>
  <c r="T29" i="12"/>
  <c r="S29" i="12"/>
  <c r="R29" i="12"/>
  <c r="T28" i="12"/>
  <c r="S28" i="12"/>
  <c r="R28" i="12"/>
  <c r="T27" i="12"/>
  <c r="S27" i="12"/>
  <c r="R27" i="12"/>
  <c r="T26" i="12"/>
  <c r="S26" i="12"/>
  <c r="R26" i="12"/>
  <c r="T25" i="12"/>
  <c r="S25" i="12"/>
  <c r="R25" i="12"/>
  <c r="T24" i="12"/>
  <c r="S24" i="12"/>
  <c r="R24" i="12"/>
  <c r="J24" i="12"/>
  <c r="T23" i="12"/>
  <c r="S23" i="12"/>
  <c r="R23" i="12"/>
  <c r="T22" i="12"/>
  <c r="S22" i="12"/>
  <c r="R22" i="12"/>
  <c r="T21" i="12"/>
  <c r="S21" i="12"/>
  <c r="R21" i="12"/>
  <c r="T20" i="12"/>
  <c r="S20" i="12"/>
  <c r="R20" i="12"/>
  <c r="T19" i="12"/>
  <c r="S19" i="12"/>
  <c r="R19" i="12"/>
  <c r="T18" i="12"/>
  <c r="S18" i="12"/>
  <c r="R18" i="12"/>
  <c r="T17" i="12"/>
  <c r="S17" i="12"/>
  <c r="R17" i="12"/>
  <c r="T16" i="12"/>
  <c r="S16" i="12"/>
  <c r="R16" i="12"/>
  <c r="T15" i="12"/>
  <c r="S15" i="12"/>
  <c r="R15" i="12"/>
  <c r="T14" i="12"/>
  <c r="S14" i="12"/>
  <c r="R14" i="12"/>
  <c r="T13" i="12"/>
  <c r="S13" i="12"/>
  <c r="R13" i="12"/>
  <c r="T12" i="12"/>
  <c r="S12" i="12"/>
  <c r="R12" i="12"/>
  <c r="G12" i="12"/>
  <c r="T11" i="12"/>
  <c r="S11" i="12"/>
  <c r="R11" i="12"/>
  <c r="T10" i="12"/>
  <c r="S10" i="12"/>
  <c r="R10" i="12"/>
  <c r="T9" i="12"/>
  <c r="S9" i="12"/>
  <c r="R9" i="12"/>
  <c r="T8" i="12"/>
  <c r="S8" i="12"/>
  <c r="R8" i="12"/>
  <c r="T7" i="12"/>
  <c r="S7" i="12"/>
  <c r="R7" i="12"/>
  <c r="T6" i="12"/>
  <c r="S6" i="12"/>
  <c r="R6" i="12"/>
  <c r="T5" i="12"/>
  <c r="S5" i="12"/>
  <c r="R5" i="12"/>
  <c r="T4" i="12"/>
  <c r="S4" i="12"/>
  <c r="R4" i="12"/>
  <c r="T3" i="12"/>
  <c r="S3" i="12"/>
  <c r="R3" i="12"/>
  <c r="T2" i="12"/>
  <c r="R2" i="12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Q90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S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S74" i="10"/>
  <c r="R74" i="10"/>
  <c r="Q74" i="10"/>
  <c r="S73" i="10"/>
  <c r="R73" i="10"/>
  <c r="Q73" i="10"/>
  <c r="S72" i="10"/>
  <c r="R72" i="10"/>
  <c r="Q72" i="10"/>
  <c r="K72" i="10"/>
  <c r="S71" i="10"/>
  <c r="R71" i="10"/>
  <c r="Q71" i="10"/>
  <c r="S70" i="10"/>
  <c r="R70" i="10"/>
  <c r="Q70" i="10"/>
  <c r="S69" i="10"/>
  <c r="R69" i="10"/>
  <c r="Q69" i="10"/>
  <c r="S68" i="10"/>
  <c r="R68" i="10"/>
  <c r="Q68" i="10"/>
  <c r="S67" i="10"/>
  <c r="R67" i="10"/>
  <c r="Q67" i="10"/>
  <c r="S66" i="10"/>
  <c r="R66" i="10"/>
  <c r="Q66" i="10"/>
  <c r="S65" i="10"/>
  <c r="R65" i="10"/>
  <c r="Q65" i="10"/>
  <c r="S64" i="10"/>
  <c r="R64" i="10"/>
  <c r="Q64" i="10"/>
  <c r="S63" i="10"/>
  <c r="R63" i="10"/>
  <c r="Q63" i="10"/>
  <c r="S62" i="10"/>
  <c r="R62" i="10"/>
  <c r="Q62" i="10"/>
  <c r="S61" i="10"/>
  <c r="R61" i="10"/>
  <c r="Q61" i="10"/>
  <c r="F61" i="10"/>
  <c r="S60" i="10"/>
  <c r="R60" i="10"/>
  <c r="Q60" i="10"/>
  <c r="S59" i="10"/>
  <c r="R59" i="10"/>
  <c r="Q59" i="10"/>
  <c r="S58" i="10"/>
  <c r="R58" i="10"/>
  <c r="Q58" i="10"/>
  <c r="S57" i="10"/>
  <c r="R57" i="10"/>
  <c r="Q57" i="10"/>
  <c r="S56" i="10"/>
  <c r="R56" i="10"/>
  <c r="Q56" i="10"/>
  <c r="S55" i="10"/>
  <c r="R55" i="10"/>
  <c r="Q55" i="10"/>
  <c r="S54" i="10"/>
  <c r="R54" i="10"/>
  <c r="Q54" i="10"/>
  <c r="S53" i="10"/>
  <c r="R53" i="10"/>
  <c r="Q53" i="10"/>
  <c r="S52" i="10"/>
  <c r="R52" i="10"/>
  <c r="Q52" i="10"/>
  <c r="S50" i="10"/>
  <c r="R50" i="10"/>
  <c r="Q50" i="10"/>
  <c r="S49" i="10"/>
  <c r="R49" i="10"/>
  <c r="Q49" i="10"/>
  <c r="S48" i="10"/>
  <c r="R48" i="10"/>
  <c r="Q48" i="10"/>
  <c r="S47" i="10"/>
  <c r="R47" i="10"/>
  <c r="Q47" i="10"/>
  <c r="S46" i="10"/>
  <c r="R46" i="10"/>
  <c r="Q46" i="10"/>
  <c r="L46" i="10"/>
  <c r="S45" i="10"/>
  <c r="R45" i="10"/>
  <c r="Q45" i="10"/>
  <c r="S44" i="10"/>
  <c r="R44" i="10"/>
  <c r="Q44" i="10"/>
  <c r="S43" i="10"/>
  <c r="R43" i="10"/>
  <c r="Q43" i="10"/>
  <c r="S42" i="10"/>
  <c r="R42" i="10"/>
  <c r="Q42" i="10"/>
  <c r="S41" i="10"/>
  <c r="R41" i="10"/>
  <c r="Q41" i="10"/>
  <c r="S40" i="10"/>
  <c r="R40" i="10"/>
  <c r="Q40" i="10"/>
  <c r="S39" i="10"/>
  <c r="R39" i="10"/>
  <c r="Q39" i="10"/>
  <c r="S38" i="10"/>
  <c r="R38" i="10"/>
  <c r="Q38" i="10"/>
  <c r="S37" i="10"/>
  <c r="R37" i="10"/>
  <c r="Q37" i="10"/>
  <c r="S36" i="10"/>
  <c r="R36" i="10"/>
  <c r="Q36" i="10"/>
  <c r="S35" i="10"/>
  <c r="R35" i="10"/>
  <c r="Q35" i="10"/>
  <c r="S34" i="10"/>
  <c r="R34" i="10"/>
  <c r="Q34" i="10"/>
  <c r="S33" i="10"/>
  <c r="R33" i="10"/>
  <c r="Q33" i="10"/>
  <c r="S32" i="10"/>
  <c r="R32" i="10"/>
  <c r="Q32" i="10"/>
  <c r="G32" i="10"/>
  <c r="F32" i="10"/>
  <c r="S31" i="10"/>
  <c r="R31" i="10"/>
  <c r="Q31" i="10"/>
  <c r="S30" i="10"/>
  <c r="R30" i="10"/>
  <c r="Q30" i="10"/>
  <c r="S29" i="10"/>
  <c r="R29" i="10"/>
  <c r="Q29" i="10"/>
  <c r="S28" i="10"/>
  <c r="R28" i="10"/>
  <c r="Q28" i="10"/>
  <c r="S27" i="10"/>
  <c r="R27" i="10"/>
  <c r="Q27" i="10"/>
  <c r="S26" i="10"/>
  <c r="R26" i="10"/>
  <c r="Q26" i="10"/>
  <c r="S25" i="10"/>
  <c r="R25" i="10"/>
  <c r="Q25" i="10"/>
  <c r="S24" i="10"/>
  <c r="R24" i="10"/>
  <c r="Q24" i="10"/>
  <c r="S23" i="10"/>
  <c r="R23" i="10"/>
  <c r="Q23" i="10"/>
  <c r="S22" i="10"/>
  <c r="R22" i="10"/>
  <c r="Q22" i="10"/>
  <c r="S21" i="10"/>
  <c r="R21" i="10"/>
  <c r="Q21" i="10"/>
  <c r="S20" i="10"/>
  <c r="R20" i="10"/>
  <c r="Q20" i="10"/>
  <c r="S19" i="10"/>
  <c r="R19" i="10"/>
  <c r="Q19" i="10"/>
  <c r="S18" i="10"/>
  <c r="R18" i="10"/>
  <c r="Q18" i="10"/>
  <c r="S17" i="10"/>
  <c r="R17" i="10"/>
  <c r="Q17" i="10"/>
  <c r="S16" i="10"/>
  <c r="R16" i="10"/>
  <c r="Q16" i="10"/>
  <c r="S15" i="10"/>
  <c r="R15" i="10"/>
  <c r="Q15" i="10"/>
  <c r="S14" i="10"/>
  <c r="R14" i="10"/>
  <c r="Q14" i="10"/>
  <c r="S13" i="10"/>
  <c r="R13" i="10"/>
  <c r="Q13" i="10"/>
  <c r="S12" i="10"/>
  <c r="R12" i="10"/>
  <c r="Q12" i="10"/>
  <c r="S11" i="10"/>
  <c r="R11" i="10"/>
  <c r="Q11" i="10"/>
  <c r="S10" i="10"/>
  <c r="R10" i="10"/>
  <c r="Q10" i="10"/>
  <c r="S9" i="10"/>
  <c r="R9" i="10"/>
  <c r="Q9" i="10"/>
  <c r="S8" i="10"/>
  <c r="R8" i="10"/>
  <c r="Q8" i="10"/>
  <c r="S7" i="10"/>
  <c r="R7" i="10"/>
  <c r="Q7" i="10"/>
  <c r="S6" i="10"/>
  <c r="R6" i="10"/>
  <c r="Q6" i="10"/>
  <c r="S5" i="10"/>
  <c r="R5" i="10"/>
  <c r="Q5" i="10"/>
  <c r="S4" i="10"/>
  <c r="R4" i="10"/>
  <c r="Q4" i="10"/>
  <c r="S3" i="10"/>
  <c r="R3" i="10"/>
  <c r="Q3" i="10"/>
  <c r="S2" i="10"/>
  <c r="Q2" i="10"/>
  <c r="Q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Q78" i="8"/>
  <c r="P78" i="8"/>
  <c r="O78" i="8"/>
  <c r="Q77" i="8"/>
  <c r="P77" i="8"/>
  <c r="O77" i="8"/>
  <c r="Q76" i="8"/>
  <c r="P76" i="8"/>
  <c r="O76" i="8"/>
  <c r="Q75" i="8"/>
  <c r="P75" i="8"/>
  <c r="O75" i="8"/>
  <c r="Q74" i="8"/>
  <c r="P74" i="8"/>
  <c r="O74" i="8"/>
  <c r="Q73" i="8"/>
  <c r="P73" i="8"/>
  <c r="O73" i="8"/>
  <c r="Q72" i="8"/>
  <c r="P72" i="8"/>
  <c r="O72" i="8"/>
  <c r="Q71" i="8"/>
  <c r="P71" i="8"/>
  <c r="O71" i="8"/>
  <c r="Q70" i="8"/>
  <c r="P70" i="8"/>
  <c r="O70" i="8"/>
  <c r="Q69" i="8"/>
  <c r="P69" i="8"/>
  <c r="O69" i="8"/>
  <c r="Q68" i="8"/>
  <c r="P68" i="8"/>
  <c r="O68" i="8"/>
  <c r="Q67" i="8"/>
  <c r="P67" i="8"/>
  <c r="O67" i="8"/>
  <c r="Q66" i="8"/>
  <c r="P66" i="8"/>
  <c r="O66" i="8"/>
  <c r="Q65" i="8"/>
  <c r="P65" i="8"/>
  <c r="O65" i="8"/>
  <c r="Q64" i="8"/>
  <c r="P64" i="8"/>
  <c r="O64" i="8"/>
  <c r="Q63" i="8"/>
  <c r="P63" i="8"/>
  <c r="O63" i="8"/>
  <c r="Q62" i="8"/>
  <c r="P62" i="8"/>
  <c r="O62" i="8"/>
  <c r="Q61" i="8"/>
  <c r="P61" i="8"/>
  <c r="O61" i="8"/>
  <c r="Q60" i="8"/>
  <c r="P60" i="8"/>
  <c r="O60" i="8"/>
  <c r="Q59" i="8"/>
  <c r="P59" i="8"/>
  <c r="O59" i="8"/>
  <c r="Q58" i="8"/>
  <c r="P58" i="8"/>
  <c r="O58" i="8"/>
  <c r="Q57" i="8"/>
  <c r="P57" i="8"/>
  <c r="O57" i="8"/>
  <c r="Q56" i="8"/>
  <c r="P56" i="8"/>
  <c r="O56" i="8"/>
  <c r="Q55" i="8"/>
  <c r="P55" i="8"/>
  <c r="O55" i="8"/>
  <c r="Q54" i="8"/>
  <c r="P54" i="8"/>
  <c r="O54" i="8"/>
  <c r="Q53" i="8"/>
  <c r="P53" i="8"/>
  <c r="O53" i="8"/>
  <c r="Q52" i="8"/>
  <c r="P52" i="8"/>
  <c r="O52" i="8"/>
  <c r="Q51" i="8"/>
  <c r="P51" i="8"/>
  <c r="O51" i="8"/>
  <c r="Q50" i="8"/>
  <c r="P50" i="8"/>
  <c r="O50" i="8"/>
  <c r="Q49" i="8"/>
  <c r="P49" i="8"/>
  <c r="O49" i="8"/>
  <c r="Q48" i="8"/>
  <c r="P48" i="8"/>
  <c r="O48" i="8"/>
  <c r="Q47" i="8"/>
  <c r="P47" i="8"/>
  <c r="O47" i="8"/>
  <c r="Q46" i="8"/>
  <c r="P46" i="8"/>
  <c r="O46" i="8"/>
  <c r="Q45" i="8"/>
  <c r="P45" i="8"/>
  <c r="O45" i="8"/>
  <c r="Q44" i="8"/>
  <c r="P44" i="8"/>
  <c r="O44" i="8"/>
  <c r="Q43" i="8"/>
  <c r="P43" i="8"/>
  <c r="O43" i="8"/>
  <c r="Q42" i="8"/>
  <c r="P42" i="8"/>
  <c r="O42" i="8"/>
  <c r="Q41" i="8"/>
  <c r="P41" i="8"/>
  <c r="O41" i="8"/>
  <c r="Q40" i="8"/>
  <c r="P40" i="8"/>
  <c r="O40" i="8"/>
  <c r="Q39" i="8"/>
  <c r="P39" i="8"/>
  <c r="O39" i="8"/>
  <c r="Q38" i="8"/>
  <c r="P38" i="8"/>
  <c r="O38" i="8"/>
  <c r="Q37" i="8"/>
  <c r="P37" i="8"/>
  <c r="O37" i="8"/>
  <c r="Q36" i="8"/>
  <c r="P36" i="8"/>
  <c r="O36" i="8"/>
  <c r="Q35" i="8"/>
  <c r="P35" i="8"/>
  <c r="O35" i="8"/>
  <c r="Q34" i="8"/>
  <c r="P34" i="8"/>
  <c r="O34" i="8"/>
  <c r="Q33" i="8"/>
  <c r="P33" i="8"/>
  <c r="O33" i="8"/>
  <c r="Q32" i="8"/>
  <c r="P32" i="8"/>
  <c r="O32" i="8"/>
  <c r="Q31" i="8"/>
  <c r="P31" i="8"/>
  <c r="O31" i="8"/>
  <c r="Q30" i="8"/>
  <c r="P30" i="8"/>
  <c r="O30" i="8"/>
  <c r="Q29" i="8"/>
  <c r="P29" i="8"/>
  <c r="O29" i="8"/>
  <c r="Q28" i="8"/>
  <c r="P28" i="8"/>
  <c r="O28" i="8"/>
  <c r="P27" i="8"/>
  <c r="O27" i="8"/>
  <c r="Q26" i="8"/>
  <c r="P26" i="8"/>
  <c r="O26" i="8"/>
  <c r="Q25" i="8"/>
  <c r="P25" i="8"/>
  <c r="O25" i="8"/>
  <c r="Q24" i="8"/>
  <c r="P24" i="8"/>
  <c r="O24" i="8"/>
  <c r="Q23" i="8"/>
  <c r="P23" i="8"/>
  <c r="O23" i="8"/>
  <c r="Q22" i="8"/>
  <c r="P22" i="8"/>
  <c r="O22" i="8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Q13" i="8"/>
  <c r="P13" i="8"/>
  <c r="O13" i="8"/>
  <c r="Q12" i="8"/>
  <c r="P12" i="8"/>
  <c r="O12" i="8"/>
  <c r="Q11" i="8"/>
  <c r="P11" i="8"/>
  <c r="O11" i="8"/>
  <c r="Q10" i="8"/>
  <c r="P10" i="8"/>
  <c r="O10" i="8"/>
  <c r="Q9" i="8"/>
  <c r="P9" i="8"/>
  <c r="O9" i="8"/>
  <c r="Q8" i="8"/>
  <c r="P8" i="8"/>
  <c r="O8" i="8"/>
  <c r="Q7" i="8"/>
  <c r="P7" i="8"/>
  <c r="O7" i="8"/>
  <c r="Q6" i="8"/>
  <c r="P6" i="8"/>
  <c r="O6" i="8"/>
  <c r="Q5" i="8"/>
  <c r="P5" i="8"/>
  <c r="O5" i="8"/>
  <c r="Q4" i="8"/>
  <c r="P4" i="8"/>
  <c r="O4" i="8"/>
  <c r="Q3" i="8"/>
  <c r="P3" i="8"/>
  <c r="O3" i="8"/>
  <c r="Q2" i="8"/>
  <c r="P2" i="8"/>
  <c r="O2" i="8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Q74" i="7"/>
  <c r="P74" i="7"/>
  <c r="O74" i="7"/>
  <c r="N74" i="7"/>
  <c r="Q73" i="7"/>
  <c r="P73" i="7"/>
  <c r="O73" i="7"/>
  <c r="Q72" i="7"/>
  <c r="P72" i="7"/>
  <c r="O72" i="7"/>
  <c r="Q71" i="7"/>
  <c r="P71" i="7"/>
  <c r="O71" i="7"/>
  <c r="Q70" i="7"/>
  <c r="P70" i="7"/>
  <c r="O70" i="7"/>
  <c r="Q69" i="7"/>
  <c r="P69" i="7"/>
  <c r="O69" i="7"/>
  <c r="Q68" i="7"/>
  <c r="P68" i="7"/>
  <c r="O68" i="7"/>
  <c r="Q67" i="7"/>
  <c r="P67" i="7"/>
  <c r="O67" i="7"/>
  <c r="Q66" i="7"/>
  <c r="P66" i="7"/>
  <c r="O66" i="7"/>
  <c r="Q65" i="7"/>
  <c r="P65" i="7"/>
  <c r="O65" i="7"/>
  <c r="Q64" i="7"/>
  <c r="P64" i="7"/>
  <c r="O64" i="7"/>
  <c r="Q63" i="7"/>
  <c r="P63" i="7"/>
  <c r="O63" i="7"/>
  <c r="Q62" i="7"/>
  <c r="P62" i="7"/>
  <c r="O62" i="7"/>
  <c r="Q61" i="7"/>
  <c r="P61" i="7"/>
  <c r="O61" i="7"/>
  <c r="Q60" i="7"/>
  <c r="P60" i="7"/>
  <c r="O60" i="7"/>
  <c r="Q59" i="7"/>
  <c r="P59" i="7"/>
  <c r="O59" i="7"/>
  <c r="Q58" i="7"/>
  <c r="P58" i="7"/>
  <c r="O58" i="7"/>
  <c r="Q57" i="7"/>
  <c r="P57" i="7"/>
  <c r="O57" i="7"/>
  <c r="Q56" i="7"/>
  <c r="P56" i="7"/>
  <c r="O56" i="7"/>
  <c r="Q55" i="7"/>
  <c r="P55" i="7"/>
  <c r="O55" i="7"/>
  <c r="Q54" i="7"/>
  <c r="P54" i="7"/>
  <c r="O54" i="7"/>
  <c r="Q53" i="7"/>
  <c r="P53" i="7"/>
  <c r="O53" i="7"/>
  <c r="Q52" i="7"/>
  <c r="P52" i="7"/>
  <c r="O52" i="7"/>
  <c r="Q51" i="7"/>
  <c r="P51" i="7"/>
  <c r="O51" i="7"/>
  <c r="Q50" i="7"/>
  <c r="P50" i="7"/>
  <c r="O50" i="7"/>
  <c r="Q49" i="7"/>
  <c r="P49" i="7"/>
  <c r="O49" i="7"/>
  <c r="Q48" i="7"/>
  <c r="P48" i="7"/>
  <c r="O48" i="7"/>
  <c r="Q47" i="7"/>
  <c r="P47" i="7"/>
  <c r="O47" i="7"/>
  <c r="Q46" i="7"/>
  <c r="P46" i="7"/>
  <c r="O46" i="7"/>
  <c r="P45" i="7"/>
  <c r="O45" i="7"/>
  <c r="Q44" i="7"/>
  <c r="P44" i="7"/>
  <c r="O44" i="7"/>
  <c r="Q43" i="7"/>
  <c r="P43" i="7"/>
  <c r="O43" i="7"/>
  <c r="Q42" i="7"/>
  <c r="P42" i="7"/>
  <c r="O42" i="7"/>
  <c r="Q41" i="7"/>
  <c r="P41" i="7"/>
  <c r="O41" i="7"/>
  <c r="Q40" i="7"/>
  <c r="P40" i="7"/>
  <c r="O40" i="7"/>
  <c r="Q39" i="7"/>
  <c r="P39" i="7"/>
  <c r="O39" i="7"/>
  <c r="Q38" i="7"/>
  <c r="P38" i="7"/>
  <c r="O38" i="7"/>
  <c r="Q37" i="7"/>
  <c r="P37" i="7"/>
  <c r="O37" i="7"/>
  <c r="Q36" i="7"/>
  <c r="P36" i="7"/>
  <c r="O36" i="7"/>
  <c r="Q35" i="7"/>
  <c r="P35" i="7"/>
  <c r="O35" i="7"/>
  <c r="Q34" i="7"/>
  <c r="P34" i="7"/>
  <c r="O34" i="7"/>
  <c r="Q33" i="7"/>
  <c r="P33" i="7"/>
  <c r="O33" i="7"/>
  <c r="Q32" i="7"/>
  <c r="P32" i="7"/>
  <c r="O32" i="7"/>
  <c r="Q31" i="7"/>
  <c r="P31" i="7"/>
  <c r="O31" i="7"/>
  <c r="Q30" i="7"/>
  <c r="P30" i="7"/>
  <c r="O30" i="7"/>
  <c r="Q29" i="7"/>
  <c r="P29" i="7"/>
  <c r="O29" i="7"/>
  <c r="Q28" i="7"/>
  <c r="P28" i="7"/>
  <c r="O28" i="7"/>
  <c r="Q27" i="7"/>
  <c r="P27" i="7"/>
  <c r="O27" i="7"/>
  <c r="Q26" i="7"/>
  <c r="P26" i="7"/>
  <c r="O26" i="7"/>
  <c r="Q25" i="7"/>
  <c r="P25" i="7"/>
  <c r="O25" i="7"/>
  <c r="Q24" i="7"/>
  <c r="P24" i="7"/>
  <c r="O24" i="7"/>
  <c r="Q23" i="7"/>
  <c r="P23" i="7"/>
  <c r="O23" i="7"/>
  <c r="Q22" i="7"/>
  <c r="P22" i="7"/>
  <c r="O22" i="7"/>
  <c r="Q21" i="7"/>
  <c r="P21" i="7"/>
  <c r="O21" i="7"/>
  <c r="Q20" i="7"/>
  <c r="P20" i="7"/>
  <c r="O20" i="7"/>
  <c r="Q19" i="7"/>
  <c r="P19" i="7"/>
  <c r="O19" i="7"/>
  <c r="Q18" i="7"/>
  <c r="P18" i="7"/>
  <c r="O18" i="7"/>
  <c r="Q17" i="7"/>
  <c r="P17" i="7"/>
  <c r="O17" i="7"/>
  <c r="Q16" i="7"/>
  <c r="P16" i="7"/>
  <c r="O16" i="7"/>
  <c r="Q15" i="7"/>
  <c r="P15" i="7"/>
  <c r="O15" i="7"/>
  <c r="Q14" i="7"/>
  <c r="P14" i="7"/>
  <c r="O14" i="7"/>
  <c r="Q13" i="7"/>
  <c r="P13" i="7"/>
  <c r="O13" i="7"/>
  <c r="Q12" i="7"/>
  <c r="P12" i="7"/>
  <c r="O12" i="7"/>
  <c r="Q11" i="7"/>
  <c r="P11" i="7"/>
  <c r="O11" i="7"/>
  <c r="Q10" i="7"/>
  <c r="P10" i="7"/>
  <c r="O10" i="7"/>
  <c r="Q9" i="7"/>
  <c r="P9" i="7"/>
  <c r="O9" i="7"/>
  <c r="Q8" i="7"/>
  <c r="P8" i="7"/>
  <c r="O8" i="7"/>
  <c r="Q7" i="7"/>
  <c r="P7" i="7"/>
  <c r="O7" i="7"/>
  <c r="Q6" i="7"/>
  <c r="P6" i="7"/>
  <c r="O6" i="7"/>
  <c r="Q5" i="7"/>
  <c r="P5" i="7"/>
  <c r="O5" i="7"/>
  <c r="Q4" i="7"/>
  <c r="P4" i="7"/>
  <c r="O4" i="7"/>
  <c r="Q3" i="7"/>
  <c r="P3" i="7"/>
  <c r="O3" i="7"/>
  <c r="Q2" i="7"/>
  <c r="P2" i="7"/>
  <c r="O2" i="7"/>
  <c r="Q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P74" i="6"/>
  <c r="O74" i="6"/>
  <c r="Q73" i="6"/>
  <c r="P73" i="6"/>
  <c r="O73" i="6"/>
  <c r="Q72" i="6"/>
  <c r="P72" i="6"/>
  <c r="O72" i="6"/>
  <c r="Q71" i="6"/>
  <c r="P71" i="6"/>
  <c r="O71" i="6"/>
  <c r="Q70" i="6"/>
  <c r="P70" i="6"/>
  <c r="O70" i="6"/>
  <c r="Q69" i="6"/>
  <c r="P69" i="6"/>
  <c r="O69" i="6"/>
  <c r="Q68" i="6"/>
  <c r="P68" i="6"/>
  <c r="O68" i="6"/>
  <c r="Q67" i="6"/>
  <c r="P67" i="6"/>
  <c r="O67" i="6"/>
  <c r="Q66" i="6"/>
  <c r="P66" i="6"/>
  <c r="O66" i="6"/>
  <c r="Q65" i="6"/>
  <c r="P65" i="6"/>
  <c r="O65" i="6"/>
  <c r="Q64" i="6"/>
  <c r="P64" i="6"/>
  <c r="O64" i="6"/>
  <c r="Q63" i="6"/>
  <c r="P63" i="6"/>
  <c r="O63" i="6"/>
  <c r="Q62" i="6"/>
  <c r="P62" i="6"/>
  <c r="O62" i="6"/>
  <c r="Q61" i="6"/>
  <c r="P61" i="6"/>
  <c r="O61" i="6"/>
  <c r="Q60" i="6"/>
  <c r="P60" i="6"/>
  <c r="O60" i="6"/>
  <c r="Q59" i="6"/>
  <c r="P59" i="6"/>
  <c r="O59" i="6"/>
  <c r="Q58" i="6"/>
  <c r="P58" i="6"/>
  <c r="O58" i="6"/>
  <c r="Q57" i="6"/>
  <c r="P57" i="6"/>
  <c r="O57" i="6"/>
  <c r="Q56" i="6"/>
  <c r="P56" i="6"/>
  <c r="O56" i="6"/>
  <c r="Q55" i="6"/>
  <c r="P55" i="6"/>
  <c r="O55" i="6"/>
  <c r="Q54" i="6"/>
  <c r="P54" i="6"/>
  <c r="O54" i="6"/>
  <c r="Q53" i="6"/>
  <c r="P53" i="6"/>
  <c r="O53" i="6"/>
  <c r="Q52" i="6"/>
  <c r="P52" i="6"/>
  <c r="O52" i="6"/>
  <c r="Q51" i="6"/>
  <c r="P51" i="6"/>
  <c r="O51" i="6"/>
  <c r="Q50" i="6"/>
  <c r="P50" i="6"/>
  <c r="O50" i="6"/>
  <c r="Q49" i="6"/>
  <c r="P49" i="6"/>
  <c r="O49" i="6"/>
  <c r="Q48" i="6"/>
  <c r="P48" i="6"/>
  <c r="O48" i="6"/>
  <c r="Q47" i="6"/>
  <c r="P47" i="6"/>
  <c r="O47" i="6"/>
  <c r="Q46" i="6"/>
  <c r="P46" i="6"/>
  <c r="O46" i="6"/>
  <c r="Q45" i="6"/>
  <c r="P45" i="6"/>
  <c r="O45" i="6"/>
  <c r="Q44" i="6"/>
  <c r="P44" i="6"/>
  <c r="O44" i="6"/>
  <c r="Q43" i="6"/>
  <c r="P43" i="6"/>
  <c r="O43" i="6"/>
  <c r="Q42" i="6"/>
  <c r="P42" i="6"/>
  <c r="O42" i="6"/>
  <c r="Q41" i="6"/>
  <c r="P41" i="6"/>
  <c r="O41" i="6"/>
  <c r="Q40" i="6"/>
  <c r="P40" i="6"/>
  <c r="O40" i="6"/>
  <c r="Q39" i="6"/>
  <c r="P39" i="6"/>
  <c r="O39" i="6"/>
  <c r="Q38" i="6"/>
  <c r="P38" i="6"/>
  <c r="O38" i="6"/>
  <c r="Q37" i="6"/>
  <c r="P37" i="6"/>
  <c r="O37" i="6"/>
  <c r="Q36" i="6"/>
  <c r="P36" i="6"/>
  <c r="O36" i="6"/>
  <c r="Q35" i="6"/>
  <c r="P35" i="6"/>
  <c r="O35" i="6"/>
  <c r="Q34" i="6"/>
  <c r="P34" i="6"/>
  <c r="O34" i="6"/>
  <c r="Q33" i="6"/>
  <c r="P33" i="6"/>
  <c r="O33" i="6"/>
  <c r="Q32" i="6"/>
  <c r="P32" i="6"/>
  <c r="O32" i="6"/>
  <c r="Q31" i="6"/>
  <c r="P31" i="6"/>
  <c r="O31" i="6"/>
  <c r="Q30" i="6"/>
  <c r="P30" i="6"/>
  <c r="O30" i="6"/>
  <c r="Q29" i="6"/>
  <c r="P29" i="6"/>
  <c r="O29" i="6"/>
  <c r="Q28" i="6"/>
  <c r="P28" i="6"/>
  <c r="O28" i="6"/>
  <c r="Q27" i="6"/>
  <c r="P27" i="6"/>
  <c r="O27" i="6"/>
  <c r="Q26" i="6"/>
  <c r="P26" i="6"/>
  <c r="O26" i="6"/>
  <c r="Q25" i="6"/>
  <c r="P25" i="6"/>
  <c r="O25" i="6"/>
  <c r="Q24" i="6"/>
  <c r="P24" i="6"/>
  <c r="O24" i="6"/>
  <c r="Q23" i="6"/>
  <c r="P23" i="6"/>
  <c r="O23" i="6"/>
  <c r="Q22" i="6"/>
  <c r="P22" i="6"/>
  <c r="O22" i="6"/>
  <c r="Q21" i="6"/>
  <c r="P21" i="6"/>
  <c r="O21" i="6"/>
  <c r="Q20" i="6"/>
  <c r="P20" i="6"/>
  <c r="O20" i="6"/>
  <c r="Q19" i="6"/>
  <c r="P19" i="6"/>
  <c r="O19" i="6"/>
  <c r="Q18" i="6"/>
  <c r="P18" i="6"/>
  <c r="O18" i="6"/>
  <c r="Q17" i="6"/>
  <c r="P17" i="6"/>
  <c r="O17" i="6"/>
  <c r="Q16" i="6"/>
  <c r="P16" i="6"/>
  <c r="O16" i="6"/>
  <c r="Q15" i="6"/>
  <c r="P15" i="6"/>
  <c r="O15" i="6"/>
  <c r="Q14" i="6"/>
  <c r="P14" i="6"/>
  <c r="O14" i="6"/>
  <c r="Q13" i="6"/>
  <c r="P13" i="6"/>
  <c r="O13" i="6"/>
  <c r="Q12" i="6"/>
  <c r="P12" i="6"/>
  <c r="O12" i="6"/>
  <c r="Q11" i="6"/>
  <c r="P11" i="6"/>
  <c r="O11" i="6"/>
  <c r="Q10" i="6"/>
  <c r="P10" i="6"/>
  <c r="O10" i="6"/>
  <c r="Q9" i="6"/>
  <c r="P9" i="6"/>
  <c r="O9" i="6"/>
  <c r="Q8" i="6"/>
  <c r="P8" i="6"/>
  <c r="O8" i="6"/>
  <c r="Q7" i="6"/>
  <c r="P7" i="6"/>
  <c r="O7" i="6"/>
  <c r="P6" i="6"/>
  <c r="O6" i="6"/>
  <c r="Q5" i="6"/>
  <c r="P5" i="6"/>
  <c r="O5" i="6"/>
  <c r="Q4" i="6"/>
  <c r="P4" i="6"/>
  <c r="O4" i="6"/>
  <c r="Q3" i="6"/>
  <c r="P3" i="6"/>
  <c r="O3" i="6"/>
  <c r="Q2" i="6"/>
  <c r="P2" i="6"/>
  <c r="O2" i="6"/>
  <c r="Q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P72" i="5"/>
  <c r="O72" i="5"/>
  <c r="Q71" i="5"/>
  <c r="P71" i="5"/>
  <c r="O71" i="5"/>
  <c r="Q70" i="5"/>
  <c r="P70" i="5"/>
  <c r="O70" i="5"/>
  <c r="Q69" i="5"/>
  <c r="P69" i="5"/>
  <c r="O69" i="5"/>
  <c r="Q68" i="5"/>
  <c r="P68" i="5"/>
  <c r="O68" i="5"/>
  <c r="Q67" i="5"/>
  <c r="P67" i="5"/>
  <c r="O67" i="5"/>
  <c r="Q66" i="5"/>
  <c r="P66" i="5"/>
  <c r="O66" i="5"/>
  <c r="Q65" i="5"/>
  <c r="P65" i="5"/>
  <c r="O65" i="5"/>
  <c r="Q64" i="5"/>
  <c r="P64" i="5"/>
  <c r="O64" i="5"/>
  <c r="Q63" i="5"/>
  <c r="P63" i="5"/>
  <c r="O63" i="5"/>
  <c r="Q62" i="5"/>
  <c r="P62" i="5"/>
  <c r="O62" i="5"/>
  <c r="Q61" i="5"/>
  <c r="P61" i="5"/>
  <c r="O61" i="5"/>
  <c r="Q60" i="5"/>
  <c r="P60" i="5"/>
  <c r="O60" i="5"/>
  <c r="Q59" i="5"/>
  <c r="P59" i="5"/>
  <c r="O59" i="5"/>
  <c r="Q58" i="5"/>
  <c r="P58" i="5"/>
  <c r="O58" i="5"/>
  <c r="Q57" i="5"/>
  <c r="P57" i="5"/>
  <c r="O57" i="5"/>
  <c r="Q56" i="5"/>
  <c r="P56" i="5"/>
  <c r="O56" i="5"/>
  <c r="Q55" i="5"/>
  <c r="P55" i="5"/>
  <c r="O55" i="5"/>
  <c r="Q54" i="5"/>
  <c r="P54" i="5"/>
  <c r="O54" i="5"/>
  <c r="Q53" i="5"/>
  <c r="P53" i="5"/>
  <c r="O53" i="5"/>
  <c r="Q52" i="5"/>
  <c r="P52" i="5"/>
  <c r="O52" i="5"/>
  <c r="Q51" i="5"/>
  <c r="P51" i="5"/>
  <c r="O51" i="5"/>
  <c r="Q50" i="5"/>
  <c r="P50" i="5"/>
  <c r="O50" i="5"/>
  <c r="Q49" i="5"/>
  <c r="P49" i="5"/>
  <c r="O49" i="5"/>
  <c r="Q48" i="5"/>
  <c r="P48" i="5"/>
  <c r="O48" i="5"/>
  <c r="Q47" i="5"/>
  <c r="P47" i="5"/>
  <c r="O47" i="5"/>
  <c r="Q46" i="5"/>
  <c r="P46" i="5"/>
  <c r="O46" i="5"/>
  <c r="Q45" i="5"/>
  <c r="P45" i="5"/>
  <c r="O45" i="5"/>
  <c r="Q44" i="5"/>
  <c r="P44" i="5"/>
  <c r="O44" i="5"/>
  <c r="Q43" i="5"/>
  <c r="P43" i="5"/>
  <c r="O43" i="5"/>
  <c r="Q42" i="5"/>
  <c r="P42" i="5"/>
  <c r="O42" i="5"/>
  <c r="Q41" i="5"/>
  <c r="P41" i="5"/>
  <c r="O41" i="5"/>
  <c r="Q40" i="5"/>
  <c r="P40" i="5"/>
  <c r="O40" i="5"/>
  <c r="Q39" i="5"/>
  <c r="P39" i="5"/>
  <c r="O39" i="5"/>
  <c r="Q38" i="5"/>
  <c r="P38" i="5"/>
  <c r="O38" i="5"/>
  <c r="Q37" i="5"/>
  <c r="P37" i="5"/>
  <c r="O37" i="5"/>
  <c r="Q36" i="5"/>
  <c r="P36" i="5"/>
  <c r="O36" i="5"/>
  <c r="Q35" i="5"/>
  <c r="P35" i="5"/>
  <c r="O35" i="5"/>
  <c r="Q34" i="5"/>
  <c r="P34" i="5"/>
  <c r="O34" i="5"/>
  <c r="Q33" i="5"/>
  <c r="P33" i="5"/>
  <c r="O33" i="5"/>
  <c r="Q32" i="5"/>
  <c r="P32" i="5"/>
  <c r="O32" i="5"/>
  <c r="Q31" i="5"/>
  <c r="P31" i="5"/>
  <c r="O31" i="5"/>
  <c r="Q30" i="5"/>
  <c r="P30" i="5"/>
  <c r="O30" i="5"/>
  <c r="Q29" i="5"/>
  <c r="P29" i="5"/>
  <c r="O29" i="5"/>
  <c r="Q28" i="5"/>
  <c r="P28" i="5"/>
  <c r="O28" i="5"/>
  <c r="Q27" i="5"/>
  <c r="P27" i="5"/>
  <c r="O27" i="5"/>
  <c r="Q26" i="5"/>
  <c r="P26" i="5"/>
  <c r="O26" i="5"/>
  <c r="Q25" i="5"/>
  <c r="P25" i="5"/>
  <c r="O25" i="5"/>
  <c r="Q24" i="5"/>
  <c r="P24" i="5"/>
  <c r="O24" i="5"/>
  <c r="Q23" i="5"/>
  <c r="P23" i="5"/>
  <c r="O23" i="5"/>
  <c r="Q22" i="5"/>
  <c r="P22" i="5"/>
  <c r="O22" i="5"/>
  <c r="Q21" i="5"/>
  <c r="P21" i="5"/>
  <c r="O21" i="5"/>
  <c r="Q20" i="5"/>
  <c r="P20" i="5"/>
  <c r="O20" i="5"/>
  <c r="Q19" i="5"/>
  <c r="P19" i="5"/>
  <c r="O19" i="5"/>
  <c r="Q18" i="5"/>
  <c r="P18" i="5"/>
  <c r="O18" i="5"/>
  <c r="Q17" i="5"/>
  <c r="P17" i="5"/>
  <c r="O17" i="5"/>
  <c r="Q16" i="5"/>
  <c r="P16" i="5"/>
  <c r="O16" i="5"/>
  <c r="Q15" i="5"/>
  <c r="P15" i="5"/>
  <c r="O15" i="5"/>
  <c r="Q14" i="5"/>
  <c r="P14" i="5"/>
  <c r="O14" i="5"/>
  <c r="Q13" i="5"/>
  <c r="P13" i="5"/>
  <c r="O13" i="5"/>
  <c r="Q12" i="5"/>
  <c r="P12" i="5"/>
  <c r="O12" i="5"/>
  <c r="Q11" i="5"/>
  <c r="P11" i="5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Q3" i="5"/>
  <c r="P3" i="5"/>
  <c r="O3" i="5"/>
  <c r="Q2" i="5"/>
  <c r="P2" i="5"/>
  <c r="O2" i="5"/>
  <c r="Q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Q73" i="4"/>
  <c r="P73" i="4"/>
  <c r="O73" i="4"/>
  <c r="Q72" i="4"/>
  <c r="P72" i="4"/>
  <c r="O72" i="4"/>
  <c r="Q71" i="4"/>
  <c r="P71" i="4"/>
  <c r="O71" i="4"/>
  <c r="Q70" i="4"/>
  <c r="P70" i="4"/>
  <c r="O70" i="4"/>
  <c r="Q69" i="4"/>
  <c r="P69" i="4"/>
  <c r="O69" i="4"/>
  <c r="Q68" i="4"/>
  <c r="P68" i="4"/>
  <c r="O68" i="4"/>
  <c r="Q67" i="4"/>
  <c r="P67" i="4"/>
  <c r="O67" i="4"/>
  <c r="P66" i="4"/>
  <c r="O66" i="4"/>
  <c r="Q65" i="4"/>
  <c r="P65" i="4"/>
  <c r="O65" i="4"/>
  <c r="Q64" i="4"/>
  <c r="P64" i="4"/>
  <c r="O64" i="4"/>
  <c r="Q63" i="4"/>
  <c r="P63" i="4"/>
  <c r="O63" i="4"/>
  <c r="Q62" i="4"/>
  <c r="P62" i="4"/>
  <c r="O62" i="4"/>
  <c r="Q61" i="4"/>
  <c r="P61" i="4"/>
  <c r="O61" i="4"/>
  <c r="Q60" i="4"/>
  <c r="P60" i="4"/>
  <c r="O60" i="4"/>
  <c r="Q59" i="4"/>
  <c r="P59" i="4"/>
  <c r="O59" i="4"/>
  <c r="Q58" i="4"/>
  <c r="P58" i="4"/>
  <c r="O58" i="4"/>
  <c r="Q57" i="4"/>
  <c r="P57" i="4"/>
  <c r="O57" i="4"/>
  <c r="Q56" i="4"/>
  <c r="P56" i="4"/>
  <c r="O56" i="4"/>
  <c r="Q55" i="4"/>
  <c r="P55" i="4"/>
  <c r="O55" i="4"/>
  <c r="Q54" i="4"/>
  <c r="P54" i="4"/>
  <c r="O54" i="4"/>
  <c r="Q53" i="4"/>
  <c r="P53" i="4"/>
  <c r="O53" i="4"/>
  <c r="Q52" i="4"/>
  <c r="P52" i="4"/>
  <c r="O52" i="4"/>
  <c r="Q51" i="4"/>
  <c r="P51" i="4"/>
  <c r="O51" i="4"/>
  <c r="Q50" i="4"/>
  <c r="P50" i="4"/>
  <c r="O50" i="4"/>
  <c r="Q49" i="4"/>
  <c r="P49" i="4"/>
  <c r="O49" i="4"/>
  <c r="Q48" i="4"/>
  <c r="P48" i="4"/>
  <c r="O48" i="4"/>
  <c r="Q47" i="4"/>
  <c r="P47" i="4"/>
  <c r="O47" i="4"/>
  <c r="Q46" i="4"/>
  <c r="P46" i="4"/>
  <c r="O46" i="4"/>
  <c r="Q45" i="4"/>
  <c r="P45" i="4"/>
  <c r="O45" i="4"/>
  <c r="Q44" i="4"/>
  <c r="P44" i="4"/>
  <c r="O44" i="4"/>
  <c r="Q43" i="4"/>
  <c r="P43" i="4"/>
  <c r="O43" i="4"/>
  <c r="Q42" i="4"/>
  <c r="P42" i="4"/>
  <c r="O42" i="4"/>
  <c r="Q41" i="4"/>
  <c r="P41" i="4"/>
  <c r="O41" i="4"/>
  <c r="Q40" i="4"/>
  <c r="P40" i="4"/>
  <c r="O40" i="4"/>
  <c r="Q39" i="4"/>
  <c r="P39" i="4"/>
  <c r="O39" i="4"/>
  <c r="Q38" i="4"/>
  <c r="P38" i="4"/>
  <c r="O38" i="4"/>
  <c r="Q37" i="4"/>
  <c r="P37" i="4"/>
  <c r="O37" i="4"/>
  <c r="Q36" i="4"/>
  <c r="P36" i="4"/>
  <c r="O36" i="4"/>
  <c r="Q35" i="4"/>
  <c r="P35" i="4"/>
  <c r="O35" i="4"/>
  <c r="Q34" i="4"/>
  <c r="P34" i="4"/>
  <c r="O34" i="4"/>
  <c r="Q33" i="4"/>
  <c r="P33" i="4"/>
  <c r="O33" i="4"/>
  <c r="Q32" i="4"/>
  <c r="P32" i="4"/>
  <c r="O32" i="4"/>
  <c r="Q31" i="4"/>
  <c r="P31" i="4"/>
  <c r="O31" i="4"/>
  <c r="Q30" i="4"/>
  <c r="P30" i="4"/>
  <c r="O30" i="4"/>
  <c r="P29" i="4"/>
  <c r="O29" i="4"/>
  <c r="Q28" i="4"/>
  <c r="P28" i="4"/>
  <c r="O28" i="4"/>
  <c r="Q27" i="4"/>
  <c r="P27" i="4"/>
  <c r="O27" i="4"/>
  <c r="Q26" i="4"/>
  <c r="P26" i="4"/>
  <c r="O26" i="4"/>
  <c r="Q25" i="4"/>
  <c r="P25" i="4"/>
  <c r="O25" i="4"/>
  <c r="Q24" i="4"/>
  <c r="P24" i="4"/>
  <c r="O24" i="4"/>
  <c r="Q23" i="4"/>
  <c r="P23" i="4"/>
  <c r="O23" i="4"/>
  <c r="Q22" i="4"/>
  <c r="P22" i="4"/>
  <c r="O22" i="4"/>
  <c r="Q21" i="4"/>
  <c r="P21" i="4"/>
  <c r="O21" i="4"/>
  <c r="Q20" i="4"/>
  <c r="P20" i="4"/>
  <c r="O20" i="4"/>
  <c r="Q19" i="4"/>
  <c r="P19" i="4"/>
  <c r="O19" i="4"/>
  <c r="Q18" i="4"/>
  <c r="P18" i="4"/>
  <c r="O18" i="4"/>
  <c r="Q17" i="4"/>
  <c r="P17" i="4"/>
  <c r="O17" i="4"/>
  <c r="Q16" i="4"/>
  <c r="P16" i="4"/>
  <c r="O16" i="4"/>
  <c r="Q15" i="4"/>
  <c r="P15" i="4"/>
  <c r="O15" i="4"/>
  <c r="Q14" i="4"/>
  <c r="P14" i="4"/>
  <c r="O14" i="4"/>
  <c r="Q13" i="4"/>
  <c r="P13" i="4"/>
  <c r="O13" i="4"/>
  <c r="Q12" i="4"/>
  <c r="P12" i="4"/>
  <c r="O12" i="4"/>
  <c r="Q11" i="4"/>
  <c r="P11" i="4"/>
  <c r="O11" i="4"/>
  <c r="Q10" i="4"/>
  <c r="P10" i="4"/>
  <c r="O10" i="4"/>
  <c r="Q9" i="4"/>
  <c r="P9" i="4"/>
  <c r="O9" i="4"/>
  <c r="Q8" i="4"/>
  <c r="P8" i="4"/>
  <c r="O8" i="4"/>
  <c r="Q7" i="4"/>
  <c r="P7" i="4"/>
  <c r="O7" i="4"/>
  <c r="P6" i="4"/>
  <c r="O6" i="4"/>
  <c r="Q5" i="4"/>
  <c r="P5" i="4"/>
  <c r="O5" i="4"/>
  <c r="Q4" i="4"/>
  <c r="P4" i="4"/>
  <c r="O4" i="4"/>
  <c r="Q3" i="4"/>
  <c r="P3" i="4"/>
  <c r="O3" i="4"/>
  <c r="Q2" i="4"/>
  <c r="P2" i="4"/>
  <c r="O2" i="4"/>
  <c r="Q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Q70" i="3"/>
  <c r="P70" i="3"/>
  <c r="O70" i="3"/>
  <c r="Q69" i="3"/>
  <c r="P69" i="3"/>
  <c r="O69" i="3"/>
  <c r="Q68" i="3"/>
  <c r="P68" i="3"/>
  <c r="O68" i="3"/>
  <c r="P67" i="3"/>
  <c r="O67" i="3"/>
  <c r="Q66" i="3"/>
  <c r="P66" i="3"/>
  <c r="O66" i="3"/>
  <c r="Q65" i="3"/>
  <c r="P65" i="3"/>
  <c r="O65" i="3"/>
  <c r="Q64" i="3"/>
  <c r="P64" i="3"/>
  <c r="O64" i="3"/>
  <c r="Q63" i="3"/>
  <c r="P63" i="3"/>
  <c r="O63" i="3"/>
  <c r="Q62" i="3"/>
  <c r="P62" i="3"/>
  <c r="O62" i="3"/>
  <c r="Q61" i="3"/>
  <c r="P61" i="3"/>
  <c r="O61" i="3"/>
  <c r="Q60" i="3"/>
  <c r="P60" i="3"/>
  <c r="O60" i="3"/>
  <c r="Q59" i="3"/>
  <c r="P59" i="3"/>
  <c r="O59" i="3"/>
  <c r="Q58" i="3"/>
  <c r="P58" i="3"/>
  <c r="O58" i="3"/>
  <c r="Q57" i="3"/>
  <c r="P57" i="3"/>
  <c r="O57" i="3"/>
  <c r="Q56" i="3"/>
  <c r="P56" i="3"/>
  <c r="O56" i="3"/>
  <c r="Q55" i="3"/>
  <c r="P55" i="3"/>
  <c r="O55" i="3"/>
  <c r="Q54" i="3"/>
  <c r="P54" i="3"/>
  <c r="O54" i="3"/>
  <c r="Q53" i="3"/>
  <c r="P53" i="3"/>
  <c r="O53" i="3"/>
  <c r="Q52" i="3"/>
  <c r="P52" i="3"/>
  <c r="O52" i="3"/>
  <c r="Q51" i="3"/>
  <c r="P51" i="3"/>
  <c r="O51" i="3"/>
  <c r="Q50" i="3"/>
  <c r="P50" i="3"/>
  <c r="O50" i="3"/>
  <c r="Q49" i="3"/>
  <c r="P49" i="3"/>
  <c r="O49" i="3"/>
  <c r="Q48" i="3"/>
  <c r="P48" i="3"/>
  <c r="O48" i="3"/>
  <c r="Q47" i="3"/>
  <c r="P47" i="3"/>
  <c r="O47" i="3"/>
  <c r="Q46" i="3"/>
  <c r="P46" i="3"/>
  <c r="O46" i="3"/>
  <c r="Q45" i="3"/>
  <c r="P45" i="3"/>
  <c r="O45" i="3"/>
  <c r="Q44" i="3"/>
  <c r="P44" i="3"/>
  <c r="O44" i="3"/>
  <c r="Q43" i="3"/>
  <c r="P43" i="3"/>
  <c r="O43" i="3"/>
  <c r="Q42" i="3"/>
  <c r="P42" i="3"/>
  <c r="O42" i="3"/>
  <c r="Q41" i="3"/>
  <c r="P41" i="3"/>
  <c r="O41" i="3"/>
  <c r="Q40" i="3"/>
  <c r="P40" i="3"/>
  <c r="O40" i="3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  <c r="Q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Q70" i="2"/>
  <c r="P70" i="2"/>
  <c r="O70" i="2"/>
  <c r="P69" i="2"/>
  <c r="O69" i="2"/>
  <c r="Q68" i="2"/>
  <c r="P68" i="2"/>
  <c r="O68" i="2"/>
  <c r="Q67" i="2"/>
  <c r="P67" i="2"/>
  <c r="O67" i="2"/>
  <c r="Q66" i="2"/>
  <c r="P66" i="2"/>
  <c r="O66" i="2"/>
  <c r="Q65" i="2"/>
  <c r="P65" i="2"/>
  <c r="O65" i="2"/>
  <c r="Q64" i="2"/>
  <c r="P64" i="2"/>
  <c r="O64" i="2"/>
  <c r="Q63" i="2"/>
  <c r="P63" i="2"/>
  <c r="O63" i="2"/>
  <c r="Q62" i="2"/>
  <c r="P62" i="2"/>
  <c r="O62" i="2"/>
  <c r="Q61" i="2"/>
  <c r="P61" i="2"/>
  <c r="O61" i="2"/>
  <c r="Q60" i="2"/>
  <c r="P60" i="2"/>
  <c r="O60" i="2"/>
  <c r="Q59" i="2"/>
  <c r="P59" i="2"/>
  <c r="O59" i="2"/>
  <c r="Q58" i="2"/>
  <c r="P58" i="2"/>
  <c r="O58" i="2"/>
  <c r="Q57" i="2"/>
  <c r="P57" i="2"/>
  <c r="O57" i="2"/>
  <c r="Q56" i="2"/>
  <c r="P56" i="2"/>
  <c r="O56" i="2"/>
  <c r="Q55" i="2"/>
  <c r="P55" i="2"/>
  <c r="O55" i="2"/>
  <c r="Q54" i="2"/>
  <c r="P54" i="2"/>
  <c r="O54" i="2"/>
  <c r="Q53" i="2"/>
  <c r="P53" i="2"/>
  <c r="O53" i="2"/>
  <c r="Q52" i="2"/>
  <c r="P52" i="2"/>
  <c r="O52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P46" i="2"/>
  <c r="Q45" i="2"/>
  <c r="P45" i="2"/>
  <c r="O45" i="2"/>
  <c r="Q44" i="2"/>
  <c r="P44" i="2"/>
  <c r="O44" i="2"/>
  <c r="Q43" i="2"/>
  <c r="P43" i="2"/>
  <c r="O43" i="2"/>
  <c r="Q42" i="2"/>
  <c r="P42" i="2"/>
  <c r="O42" i="2"/>
  <c r="Q41" i="2"/>
  <c r="P41" i="2"/>
  <c r="O41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  <c r="Q5" i="2"/>
  <c r="P5" i="2"/>
  <c r="O5" i="2"/>
  <c r="Q4" i="2"/>
  <c r="P4" i="2"/>
  <c r="O4" i="2"/>
  <c r="Q3" i="2"/>
  <c r="P3" i="2"/>
  <c r="O3" i="2"/>
  <c r="Q2" i="2"/>
  <c r="P2" i="2"/>
  <c r="O2" i="2"/>
  <c r="Q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P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  <c r="Q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Q69" i="9"/>
  <c r="P69" i="9"/>
  <c r="O69" i="9"/>
  <c r="Q68" i="9"/>
  <c r="P68" i="9"/>
  <c r="O68" i="9"/>
  <c r="Q67" i="9"/>
  <c r="P67" i="9"/>
  <c r="O67" i="9"/>
  <c r="Q66" i="9"/>
  <c r="P66" i="9"/>
  <c r="O66" i="9"/>
  <c r="Q65" i="9"/>
  <c r="P65" i="9"/>
  <c r="O65" i="9"/>
  <c r="Q64" i="9"/>
  <c r="P64" i="9"/>
  <c r="O64" i="9"/>
  <c r="Q63" i="9"/>
  <c r="P63" i="9"/>
  <c r="O63" i="9"/>
  <c r="Q62" i="9"/>
  <c r="P62" i="9"/>
  <c r="O62" i="9"/>
  <c r="Q61" i="9"/>
  <c r="P61" i="9"/>
  <c r="O61" i="9"/>
  <c r="Q60" i="9"/>
  <c r="P60" i="9"/>
  <c r="O60" i="9"/>
  <c r="P59" i="9"/>
  <c r="O59" i="9"/>
  <c r="Q58" i="9"/>
  <c r="P58" i="9"/>
  <c r="O58" i="9"/>
  <c r="Q57" i="9"/>
  <c r="P57" i="9"/>
  <c r="O57" i="9"/>
  <c r="Q56" i="9"/>
  <c r="P56" i="9"/>
  <c r="O56" i="9"/>
  <c r="Q55" i="9"/>
  <c r="P55" i="9"/>
  <c r="O55" i="9"/>
  <c r="Q54" i="9"/>
  <c r="P54" i="9"/>
  <c r="O54" i="9"/>
  <c r="Q53" i="9"/>
  <c r="P53" i="9"/>
  <c r="O53" i="9"/>
  <c r="Q52" i="9"/>
  <c r="P52" i="9"/>
  <c r="O52" i="9"/>
  <c r="Q51" i="9"/>
  <c r="P51" i="9"/>
  <c r="O51" i="9"/>
  <c r="Q50" i="9"/>
  <c r="P50" i="9"/>
  <c r="O50" i="9"/>
  <c r="Q49" i="9"/>
  <c r="P49" i="9"/>
  <c r="O49" i="9"/>
  <c r="Q48" i="9"/>
  <c r="P48" i="9"/>
  <c r="O48" i="9"/>
  <c r="Q47" i="9"/>
  <c r="P47" i="9"/>
  <c r="O47" i="9"/>
  <c r="Q46" i="9"/>
  <c r="P46" i="9"/>
  <c r="O46" i="9"/>
  <c r="Q45" i="9"/>
  <c r="P45" i="9"/>
  <c r="O45" i="9"/>
  <c r="Q44" i="9"/>
  <c r="P44" i="9"/>
  <c r="O44" i="9"/>
  <c r="Q43" i="9"/>
  <c r="P43" i="9"/>
  <c r="O43" i="9"/>
  <c r="Q42" i="9"/>
  <c r="P42" i="9"/>
  <c r="O42" i="9"/>
  <c r="Q41" i="9"/>
  <c r="P41" i="9"/>
  <c r="O41" i="9"/>
  <c r="Q40" i="9"/>
  <c r="P40" i="9"/>
  <c r="O40" i="9"/>
  <c r="Q39" i="9"/>
  <c r="P39" i="9"/>
  <c r="O39" i="9"/>
  <c r="Q38" i="9"/>
  <c r="P38" i="9"/>
  <c r="O38" i="9"/>
  <c r="Q37" i="9"/>
  <c r="P37" i="9"/>
  <c r="O37" i="9"/>
  <c r="Q36" i="9"/>
  <c r="P36" i="9"/>
  <c r="O36" i="9"/>
  <c r="Q35" i="9"/>
  <c r="P35" i="9"/>
  <c r="O35" i="9"/>
  <c r="Q34" i="9"/>
  <c r="P34" i="9"/>
  <c r="O34" i="9"/>
  <c r="Q33" i="9"/>
  <c r="P33" i="9"/>
  <c r="O33" i="9"/>
  <c r="Q32" i="9"/>
  <c r="P32" i="9"/>
  <c r="O32" i="9"/>
  <c r="Q31" i="9"/>
  <c r="P31" i="9"/>
  <c r="O31" i="9"/>
  <c r="Q30" i="9"/>
  <c r="P30" i="9"/>
  <c r="O30" i="9"/>
  <c r="Q29" i="9"/>
  <c r="P29" i="9"/>
  <c r="O29" i="9"/>
  <c r="Q28" i="9"/>
  <c r="P28" i="9"/>
  <c r="O28" i="9"/>
  <c r="Q27" i="9"/>
  <c r="P27" i="9"/>
  <c r="O27" i="9"/>
  <c r="Q26" i="9"/>
  <c r="P26" i="9"/>
  <c r="O26" i="9"/>
  <c r="Q25" i="9"/>
  <c r="P25" i="9"/>
  <c r="O25" i="9"/>
  <c r="Q24" i="9"/>
  <c r="P24" i="9"/>
  <c r="O24" i="9"/>
  <c r="Q23" i="9"/>
  <c r="P23" i="9"/>
  <c r="O23" i="9"/>
  <c r="Q22" i="9"/>
  <c r="P22" i="9"/>
  <c r="O22" i="9"/>
  <c r="Q21" i="9"/>
  <c r="P21" i="9"/>
  <c r="O21" i="9"/>
  <c r="Q20" i="9"/>
  <c r="P20" i="9"/>
  <c r="O20" i="9"/>
  <c r="Q19" i="9"/>
  <c r="P19" i="9"/>
  <c r="O19" i="9"/>
  <c r="Q18" i="9"/>
  <c r="P18" i="9"/>
  <c r="O18" i="9"/>
  <c r="Q17" i="9"/>
  <c r="P17" i="9"/>
  <c r="O17" i="9"/>
  <c r="Q16" i="9"/>
  <c r="P16" i="9"/>
  <c r="O16" i="9"/>
  <c r="Q15" i="9"/>
  <c r="P15" i="9"/>
  <c r="O15" i="9"/>
  <c r="Q14" i="9"/>
  <c r="P14" i="9"/>
  <c r="O14" i="9"/>
  <c r="Q13" i="9"/>
  <c r="P13" i="9"/>
  <c r="O13" i="9"/>
  <c r="Q12" i="9"/>
  <c r="P12" i="9"/>
  <c r="O12" i="9"/>
  <c r="Q11" i="9"/>
  <c r="P11" i="9"/>
  <c r="O11" i="9"/>
  <c r="Q10" i="9"/>
  <c r="P10" i="9"/>
  <c r="O10" i="9"/>
  <c r="Q9" i="9"/>
  <c r="P9" i="9"/>
  <c r="O9" i="9"/>
  <c r="Q8" i="9"/>
  <c r="P8" i="9"/>
  <c r="O8" i="9"/>
  <c r="Q7" i="9"/>
  <c r="P7" i="9"/>
  <c r="O7" i="9"/>
  <c r="Q6" i="9"/>
  <c r="P6" i="9"/>
  <c r="O6" i="9"/>
  <c r="Q5" i="9"/>
  <c r="P5" i="9"/>
  <c r="O5" i="9"/>
  <c r="Q4" i="9"/>
  <c r="P4" i="9"/>
  <c r="O4" i="9"/>
  <c r="Q3" i="9"/>
  <c r="P3" i="9"/>
  <c r="O3" i="9"/>
  <c r="Q2" i="9"/>
  <c r="P2" i="9"/>
  <c r="O2" i="9"/>
  <c r="C2" i="28" l="1"/>
  <c r="O110" i="28"/>
  <c r="O115" i="28" s="1"/>
  <c r="AW9" i="28"/>
  <c r="V83" i="28"/>
  <c r="Q110" i="28"/>
  <c r="Q112" i="28" s="1"/>
  <c r="AR7" i="28"/>
  <c r="AR28" i="28"/>
  <c r="AS28" i="28" s="1"/>
  <c r="AS30" i="28" s="1"/>
  <c r="AU21" i="28"/>
  <c r="M110" i="28"/>
  <c r="M112" i="28" s="1"/>
  <c r="AV12" i="28"/>
  <c r="AW12" i="28" s="1"/>
  <c r="L110" i="28"/>
  <c r="F110" i="28"/>
  <c r="P110" i="28"/>
  <c r="P115" i="28" s="1"/>
  <c r="H110" i="28"/>
  <c r="K110" i="28"/>
  <c r="K115" i="28" s="1"/>
  <c r="I114" i="28"/>
  <c r="G115" i="28"/>
  <c r="G111" i="28"/>
  <c r="G114" i="28"/>
  <c r="G112" i="28"/>
  <c r="S105" i="28"/>
  <c r="S1" i="28"/>
  <c r="AS7" i="28" l="1"/>
  <c r="AY7" i="28" s="1"/>
  <c r="L112" i="28"/>
  <c r="O114" i="28"/>
  <c r="O112" i="28"/>
  <c r="O111" i="28"/>
  <c r="O113" i="28" s="1"/>
  <c r="O116" i="28" s="1"/>
  <c r="O119" i="28" s="1"/>
  <c r="H111" i="28"/>
  <c r="H113" i="28" s="1"/>
  <c r="H116" i="28" s="1"/>
  <c r="H119" i="28" s="1"/>
  <c r="M114" i="28"/>
  <c r="AW21" i="28"/>
  <c r="M111" i="28"/>
  <c r="M113" i="28" s="1"/>
  <c r="M116" i="28" s="1"/>
  <c r="M119" i="28" s="1"/>
  <c r="M115" i="28"/>
  <c r="L114" i="28"/>
  <c r="Q114" i="28"/>
  <c r="Q111" i="28"/>
  <c r="Q113" i="28" s="1"/>
  <c r="Q115" i="28"/>
  <c r="L111" i="28"/>
  <c r="L113" i="28" s="1"/>
  <c r="L116" i="28" s="1"/>
  <c r="L119" i="28" s="1"/>
  <c r="L115" i="28"/>
  <c r="AV21" i="28"/>
  <c r="F114" i="28"/>
  <c r="F111" i="28"/>
  <c r="F113" i="28" s="1"/>
  <c r="F116" i="28" s="1"/>
  <c r="F119" i="28" s="1"/>
  <c r="F115" i="28"/>
  <c r="F112" i="28"/>
  <c r="P114" i="28"/>
  <c r="P112" i="28"/>
  <c r="P111" i="28"/>
  <c r="P113" i="28" s="1"/>
  <c r="P116" i="28" s="1"/>
  <c r="P119" i="28" s="1"/>
  <c r="H114" i="28"/>
  <c r="H112" i="28"/>
  <c r="H115" i="28"/>
  <c r="J114" i="28"/>
  <c r="J115" i="28"/>
  <c r="K112" i="28"/>
  <c r="K114" i="28"/>
  <c r="J111" i="28"/>
  <c r="J113" i="28" s="1"/>
  <c r="J116" i="28" s="1"/>
  <c r="J119" i="28" s="1"/>
  <c r="J112" i="28"/>
  <c r="K111" i="28"/>
  <c r="K113" i="28" s="1"/>
  <c r="K116" i="28" s="1"/>
  <c r="K119" i="28" s="1"/>
  <c r="I112" i="28"/>
  <c r="I111" i="28"/>
  <c r="I113" i="28" s="1"/>
  <c r="I116" i="28" s="1"/>
  <c r="I119" i="28" s="1"/>
  <c r="I115" i="28"/>
  <c r="G113" i="28"/>
  <c r="G116" i="28" s="1"/>
  <c r="G119" i="28" s="1"/>
  <c r="Q116" i="28" l="1"/>
  <c r="Q119" i="28" s="1"/>
  <c r="AD37" i="28" l="1"/>
  <c r="AM37" i="28" s="1"/>
  <c r="U31" i="28"/>
  <c r="AN31" i="28" s="1"/>
  <c r="U37" i="28"/>
  <c r="AN37" i="28" s="1"/>
  <c r="AK6" i="28"/>
  <c r="AM6" i="28" s="1"/>
  <c r="AO6" i="28" s="1"/>
  <c r="AK34" i="28"/>
  <c r="AM34" i="28" s="1"/>
  <c r="AB11" i="28"/>
  <c r="AB2" i="28" s="1"/>
  <c r="AR11" i="28" s="1"/>
  <c r="AS11" i="28" s="1"/>
  <c r="AM11" i="28"/>
  <c r="AO11" i="28" s="1"/>
  <c r="U6" i="28"/>
  <c r="AN6" i="28"/>
  <c r="U34" i="28"/>
  <c r="AN34" i="28" s="1"/>
  <c r="X21" i="28"/>
  <c r="AM21" i="28" s="1"/>
  <c r="AO21" i="28" s="1"/>
  <c r="U26" i="28"/>
  <c r="AF26" i="28" s="1"/>
  <c r="AM26" i="28" s="1"/>
  <c r="AO26" i="28" s="1"/>
  <c r="AN26" i="28"/>
  <c r="U25" i="28"/>
  <c r="AD25" i="28" s="1"/>
  <c r="AM25" i="28" s="1"/>
  <c r="AO25" i="28" s="1"/>
  <c r="AN25" i="28"/>
  <c r="U14" i="28"/>
  <c r="AN14" i="28" s="1"/>
  <c r="U29" i="28"/>
  <c r="AF29" i="28" s="1"/>
  <c r="AM29" i="28" s="1"/>
  <c r="U20" i="28"/>
  <c r="AN20" i="28" s="1"/>
  <c r="U22" i="28"/>
  <c r="AN22" i="28" s="1"/>
  <c r="U18" i="28"/>
  <c r="AD18" i="28" s="1"/>
  <c r="AM18" i="28" s="1"/>
  <c r="U24" i="28"/>
  <c r="X24" i="28" s="1"/>
  <c r="AM24" i="28" s="1"/>
  <c r="AO24" i="28" s="1"/>
  <c r="AN24" i="28"/>
  <c r="X38" i="28"/>
  <c r="AM38" i="28" s="1"/>
  <c r="AO38" i="28" s="1"/>
  <c r="U38" i="28"/>
  <c r="AN38" i="28" s="1"/>
  <c r="U13" i="28"/>
  <c r="AI13" i="28" s="1"/>
  <c r="AJ7" i="28"/>
  <c r="AM7" i="28"/>
  <c r="AO7" i="28" s="1"/>
  <c r="U39" i="28"/>
  <c r="AB39" i="28" s="1"/>
  <c r="AM39" i="28" s="1"/>
  <c r="AO39" i="28" s="1"/>
  <c r="AN39" i="28"/>
  <c r="U28" i="28"/>
  <c r="AF28" i="28" s="1"/>
  <c r="AM28" i="28" s="1"/>
  <c r="Y17" i="28"/>
  <c r="AM17" i="28"/>
  <c r="U17" i="28"/>
  <c r="AN17" i="28" s="1"/>
  <c r="U40" i="28"/>
  <c r="AH40" i="28" s="1"/>
  <c r="AM40" i="28" s="1"/>
  <c r="U32" i="28"/>
  <c r="AN32" i="28" s="1"/>
  <c r="U15" i="28"/>
  <c r="AN15" i="28" s="1"/>
  <c r="U16" i="28"/>
  <c r="AI16" i="28" s="1"/>
  <c r="AM16" i="28" s="1"/>
  <c r="AO16" i="28" s="1"/>
  <c r="AN16" i="28"/>
  <c r="AN9" i="28"/>
  <c r="U30" i="28"/>
  <c r="AI30" i="28" s="1"/>
  <c r="AM30" i="28" s="1"/>
  <c r="AO30" i="28" s="1"/>
  <c r="AN30" i="28"/>
  <c r="U21" i="28"/>
  <c r="AN21" i="28" s="1"/>
  <c r="U33" i="28"/>
  <c r="AJ33" i="28" s="1"/>
  <c r="AM33" i="28" s="1"/>
  <c r="AO33" i="28" s="1"/>
  <c r="AN33" i="28"/>
  <c r="U12" i="28"/>
  <c r="AF12" i="28" s="1"/>
  <c r="AM12" i="28" s="1"/>
  <c r="AO12" i="28" s="1"/>
  <c r="AN12" i="28"/>
  <c r="AB23" i="28"/>
  <c r="AM23" i="28" s="1"/>
  <c r="AO23" i="28" s="1"/>
  <c r="U23" i="28"/>
  <c r="AN23" i="28" s="1"/>
  <c r="U9" i="28"/>
  <c r="AL9" i="28" s="1"/>
  <c r="U8" i="28"/>
  <c r="AJ8" i="28" s="1"/>
  <c r="AM8" i="28" s="1"/>
  <c r="AO8" i="28" s="1"/>
  <c r="AN8" i="28"/>
  <c r="U5" i="28"/>
  <c r="Y5" i="28" s="1"/>
  <c r="AN5" i="28"/>
  <c r="U10" i="28"/>
  <c r="AF10" i="28" s="1"/>
  <c r="AN10" i="28"/>
  <c r="U36" i="28"/>
  <c r="AL36" i="28" s="1"/>
  <c r="AM36" i="28" s="1"/>
  <c r="U7" i="28"/>
  <c r="AN7" i="28"/>
  <c r="U11" i="28"/>
  <c r="AN11" i="28"/>
  <c r="AF19" i="28"/>
  <c r="AM19" i="28" s="1"/>
  <c r="U19" i="28"/>
  <c r="AN19" i="28" s="1"/>
  <c r="AL27" i="28"/>
  <c r="AM27" i="28" s="1"/>
  <c r="AO27" i="28" s="1"/>
  <c r="U27" i="28"/>
  <c r="AN27" i="28"/>
  <c r="AE35" i="28"/>
  <c r="AM35" i="28"/>
  <c r="AO35" i="28"/>
  <c r="U35" i="28"/>
  <c r="AN35" i="28"/>
  <c r="R15" i="28"/>
  <c r="R37" i="28"/>
  <c r="R24" i="28"/>
  <c r="R35" i="28"/>
  <c r="R34" i="28"/>
  <c r="R32" i="28"/>
  <c r="R20" i="28"/>
  <c r="R8" i="28"/>
  <c r="R28" i="28"/>
  <c r="R16" i="28"/>
  <c r="R26" i="28"/>
  <c r="R13" i="28"/>
  <c r="R12" i="28"/>
  <c r="R10" i="28"/>
  <c r="R33" i="28"/>
  <c r="R31" i="28"/>
  <c r="R19" i="28"/>
  <c r="R7" i="28"/>
  <c r="R27" i="28"/>
  <c r="R14" i="28"/>
  <c r="R11" i="28"/>
  <c r="R9" i="28"/>
  <c r="R30" i="28"/>
  <c r="R18" i="28"/>
  <c r="R6" i="28"/>
  <c r="R40" i="28"/>
  <c r="R39" i="28"/>
  <c r="R38" i="28"/>
  <c r="R25" i="28"/>
  <c r="R36" i="28"/>
  <c r="R23" i="28"/>
  <c r="R22" i="28"/>
  <c r="R21" i="28"/>
  <c r="R29" i="28"/>
  <c r="R17" i="28"/>
  <c r="N1" i="28"/>
  <c r="R5" i="28"/>
  <c r="AO36" i="28" l="1"/>
  <c r="AO17" i="28"/>
  <c r="AF2" i="28"/>
  <c r="AR14" i="28" s="1"/>
  <c r="AS14" i="28" s="1"/>
  <c r="AM10" i="28"/>
  <c r="AO10" i="28" s="1"/>
  <c r="AO29" i="28"/>
  <c r="Y2" i="28"/>
  <c r="AR9" i="28" s="1"/>
  <c r="AM5" i="28"/>
  <c r="AO5" i="28" s="1"/>
  <c r="AO37" i="28"/>
  <c r="AO28" i="28"/>
  <c r="AO34" i="28"/>
  <c r="AJ2" i="28"/>
  <c r="AO19" i="28"/>
  <c r="AL2" i="28"/>
  <c r="AR19" i="28" s="1"/>
  <c r="AS19" i="28" s="1"/>
  <c r="AM9" i="28"/>
  <c r="AO9" i="28" s="1"/>
  <c r="AM13" i="28"/>
  <c r="AO13" i="28" s="1"/>
  <c r="AN28" i="28"/>
  <c r="AD32" i="28"/>
  <c r="AM32" i="28" s="1"/>
  <c r="AO32" i="28" s="1"/>
  <c r="AH22" i="28"/>
  <c r="AM22" i="28" s="1"/>
  <c r="AO22" i="28" s="1"/>
  <c r="AI14" i="28"/>
  <c r="AM14" i="28" s="1"/>
  <c r="AO14" i="28" s="1"/>
  <c r="AH20" i="28"/>
  <c r="AK2" i="28"/>
  <c r="AR18" i="28" s="1"/>
  <c r="AN40" i="28"/>
  <c r="AO40" i="28" s="1"/>
  <c r="AN36" i="28"/>
  <c r="AD15" i="28"/>
  <c r="AN13" i="28"/>
  <c r="AN18" i="28"/>
  <c r="AO18" i="28" s="1"/>
  <c r="AN29" i="28"/>
  <c r="AE31" i="28"/>
  <c r="X2" i="28"/>
  <c r="AR8" i="28" s="1"/>
  <c r="AH2" i="28" l="1"/>
  <c r="AR15" i="28" s="1"/>
  <c r="AM20" i="28"/>
  <c r="AO20" i="28" s="1"/>
  <c r="BA9" i="28"/>
  <c r="AS8" i="28"/>
  <c r="AE2" i="28"/>
  <c r="AR13" i="28" s="1"/>
  <c r="AM31" i="28"/>
  <c r="AO31" i="28" s="1"/>
  <c r="AD2" i="28"/>
  <c r="AR12" i="28" s="1"/>
  <c r="AM15" i="28"/>
  <c r="AO15" i="28" s="1"/>
  <c r="AJ1" i="28"/>
  <c r="AK1" i="28" s="1"/>
  <c r="AL1" i="28" s="1"/>
  <c r="AR17" i="28"/>
  <c r="AS9" i="28"/>
  <c r="BA12" i="28"/>
  <c r="AI2" i="28"/>
  <c r="AR16" i="28" s="1"/>
  <c r="BA20" i="28"/>
  <c r="AS18" i="28"/>
  <c r="AS12" i="28" l="1"/>
  <c r="BA14" i="28"/>
  <c r="AS13" i="28"/>
  <c r="BA15" i="28"/>
  <c r="AY9" i="28"/>
  <c r="AY20" i="28"/>
  <c r="AS16" i="28"/>
  <c r="BA18" i="28"/>
  <c r="AY12" i="28"/>
  <c r="AS17" i="28"/>
  <c r="BA19" i="28"/>
  <c r="AS15" i="28"/>
  <c r="BA17" i="28"/>
  <c r="AY18" i="28" l="1"/>
  <c r="AY19" i="28"/>
  <c r="AY17" i="28"/>
  <c r="AY15" i="28"/>
  <c r="AY14" i="28"/>
  <c r="N105" i="28"/>
  <c r="N107" i="28" s="1"/>
  <c r="N110" i="28" s="1"/>
  <c r="N108" i="28"/>
  <c r="U4" i="28"/>
  <c r="AN4" i="28" s="1"/>
  <c r="AN2" i="28" s="1"/>
  <c r="Z4" i="28"/>
  <c r="AM4" i="28" s="1"/>
  <c r="R4" i="28"/>
  <c r="R105" i="28" s="1"/>
  <c r="AM2" i="28" l="1"/>
  <c r="AO4" i="28"/>
  <c r="N111" i="28"/>
  <c r="N112" i="28"/>
  <c r="N115" i="28"/>
  <c r="N114" i="28"/>
  <c r="U2" i="28"/>
  <c r="U105" i="28"/>
  <c r="Z2" i="28"/>
  <c r="AR10" i="28" s="1"/>
  <c r="BA13" i="28" l="1"/>
  <c r="BA21" i="28" s="1"/>
  <c r="AS10" i="28"/>
  <c r="AR20" i="28"/>
  <c r="N113" i="28"/>
  <c r="N116" i="28"/>
  <c r="N119" i="28" s="1"/>
  <c r="AS20" i="28" l="1"/>
  <c r="AY13" i="28"/>
  <c r="AY21" i="28" s="1"/>
  <c r="AT16" i="28" l="1"/>
  <c r="AT14" i="28"/>
  <c r="AT12" i="28"/>
  <c r="AT15" i="28"/>
  <c r="AT18" i="28"/>
  <c r="AT8" i="28"/>
  <c r="AT19" i="28"/>
  <c r="AT11" i="28"/>
  <c r="AT13" i="28"/>
  <c r="AT9" i="28"/>
  <c r="AT17" i="28"/>
  <c r="AT23" i="28" s="1"/>
  <c r="AT10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J. Knight, CPA</author>
  </authors>
  <commentList>
    <comment ref="D4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D18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Best Western Conference Center</t>
        </r>
      </text>
    </comment>
    <comment ref="D44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Will be Candlewood Suites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Courtney Brown</author>
    <author>Patricia J. Knight, CPA</author>
  </authors>
  <commentList>
    <comment ref="O17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JUL was final payment.  New acct for AUG 15058371</t>
        </r>
      </text>
    </comment>
    <comment ref="P18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Replaces acct 7006700</t>
        </r>
      </text>
    </comment>
    <comment ref="P25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City says this is the "final" pmt for Crosslands.</t>
        </r>
      </text>
    </comment>
    <comment ref="C33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Swann's Nest at Cygnet Farm
</t>
        </r>
      </text>
    </comment>
    <comment ref="C62" authorId="1" shapeId="0" xr:uid="{00000000-0006-0000-1200-000005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D62" authorId="1" shapeId="0" xr:uid="{00000000-0006-0000-1200-000006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Arin Arnold</author>
    <author>Arin Arnold-Davis</author>
    <author>Courtney Brown</author>
    <author>Patricia J. Knight, CPA</author>
  </authors>
  <commentList>
    <comment ref="W9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For APR, MAY, JUN 2017</t>
        </r>
      </text>
    </comment>
    <comment ref="X9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For AUG and JUL 2017</t>
        </r>
      </text>
    </comment>
    <comment ref="Z9" authorId="1" shapeId="0" xr:uid="{00000000-0006-0000-1300-000003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For SEP 2017-JAN 2018</t>
        </r>
      </text>
    </comment>
    <comment ref="W19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for MAY &amp; JUN 2018</t>
        </r>
      </text>
    </comment>
    <comment ref="P24" authorId="2" shapeId="0" xr:uid="{00000000-0006-0000-1300-000005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Replaces acct 7006700</t>
        </r>
      </text>
    </comment>
    <comment ref="B26" authorId="0" shapeId="0" xr:uid="{00000000-0006-0000-1300-000006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Updated 7007600
FEB 2019
</t>
        </r>
      </text>
    </comment>
    <comment ref="C39" authorId="2" shapeId="0" xr:uid="{00000000-0006-0000-1300-000007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Swann's Nest at Cygnet Farm
</t>
        </r>
      </text>
    </comment>
    <comment ref="B42" authorId="0" shapeId="0" xr:uid="{00000000-0006-0000-1300-000008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New account number MAR 2019
Formerly 7007200</t>
        </r>
      </text>
    </comment>
    <comment ref="B48" authorId="0" shapeId="0" xr:uid="{00000000-0006-0000-1300-000009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Opened FEB 2019</t>
        </r>
      </text>
    </comment>
    <comment ref="B68" authorId="0" shapeId="0" xr:uid="{00000000-0006-0000-1300-00000A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Account # changed SEP 2018</t>
        </r>
      </text>
    </comment>
    <comment ref="B70" authorId="0" shapeId="0" xr:uid="{00000000-0006-0000-1300-00000B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Account # changed from 15020999 SEP 2018</t>
        </r>
      </text>
    </comment>
    <comment ref="C70" authorId="3" shapeId="0" xr:uid="{00000000-0006-0000-1300-00000C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D70" authorId="3" shapeId="0" xr:uid="{00000000-0006-0000-1300-00000D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B76" authorId="0" shapeId="0" xr:uid="{00000000-0006-0000-1300-00000E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Changed from 7007600 MAY 2019</t>
        </r>
      </text>
    </comment>
    <comment ref="B78" authorId="0" shapeId="0" xr:uid="{00000000-0006-0000-1300-00000F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Torn down MAR 2019</t>
        </r>
      </text>
    </comment>
    <comment ref="B112" authorId="0" shapeId="0" xr:uid="{00000000-0006-0000-1300-000010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Changed account # MAR 2019
(7005200 formerly)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Arin Arnold-Davis</author>
    <author>Arin Arnold</author>
    <author>Courtney Brown</author>
    <author>Patricia J. Knight, CPA</author>
  </authors>
  <commentList>
    <comment ref="O4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APR-JUN 2019</t>
        </r>
      </text>
    </comment>
    <comment ref="W7" authorId="1" shapeId="0" xr:uid="{00000000-0006-0000-1400-000002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For APR, MAY, JUN 2017</t>
        </r>
      </text>
    </comment>
    <comment ref="X7" authorId="1" shapeId="0" xr:uid="{00000000-0006-0000-1400-000003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For AUG and JUL 2017</t>
        </r>
      </text>
    </comment>
    <comment ref="Z7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For SEP 2017-JAN 2018</t>
        </r>
      </text>
    </comment>
    <comment ref="O17" authorId="0" shapeId="0" xr:uid="{00000000-0006-0000-1400-000005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APR-JUN 2019</t>
        </r>
      </text>
    </comment>
    <comment ref="O18" authorId="0" shapeId="0" xr:uid="{00000000-0006-0000-1400-000006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Paid SEP 2020
</t>
        </r>
      </text>
    </comment>
    <comment ref="P18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For JUL, OCT, NOV, and DEC 2018</t>
        </r>
      </text>
    </comment>
    <comment ref="Q18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Paid SEP 2020</t>
        </r>
      </text>
    </comment>
    <comment ref="R18" authorId="0" shapeId="0" xr:uid="{00000000-0006-0000-1400-000009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Paid SEP 2020</t>
        </r>
      </text>
    </comment>
    <comment ref="S18" authorId="0" shapeId="0" xr:uid="{00000000-0006-0000-1400-00000A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For AUG, SEP 2018 and JAN 2019
</t>
        </r>
      </text>
    </comment>
    <comment ref="T18" authorId="0" shapeId="0" xr:uid="{00000000-0006-0000-1400-00000B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Paid SEP 2020</t>
        </r>
      </text>
    </comment>
    <comment ref="V18" authorId="0" shapeId="0" xr:uid="{00000000-0006-0000-1400-00000C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Paid SEP 2020</t>
        </r>
      </text>
    </comment>
    <comment ref="W18" authorId="1" shapeId="0" xr:uid="{00000000-0006-0000-1400-00000D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Paid SEP 2020</t>
        </r>
      </text>
    </comment>
    <comment ref="X18" authorId="0" shapeId="0" xr:uid="{00000000-0006-0000-1400-00000E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Paid SEP 2020</t>
        </r>
      </text>
    </comment>
    <comment ref="Y18" authorId="0" shapeId="0" xr:uid="{00000000-0006-0000-1400-00000F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Paid SEP 2020</t>
        </r>
      </text>
    </comment>
    <comment ref="P21" authorId="2" shapeId="0" xr:uid="{00000000-0006-0000-1400-000010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Replaces acct 7006700</t>
        </r>
      </text>
    </comment>
    <comment ref="B23" authorId="1" shapeId="0" xr:uid="{00000000-0006-0000-1400-000011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Updated 7007600
FEB 2019
</t>
        </r>
      </text>
    </comment>
    <comment ref="C35" authorId="2" shapeId="0" xr:uid="{00000000-0006-0000-1400-000012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Swann's Nest at Cygnet Farm
</t>
        </r>
      </text>
    </comment>
    <comment ref="B38" authorId="1" shapeId="0" xr:uid="{00000000-0006-0000-1400-000013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New account number MAR 2019
Formerly 7007200</t>
        </r>
      </text>
    </comment>
    <comment ref="B44" authorId="1" shapeId="0" xr:uid="{00000000-0006-0000-1400-000014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Opened FEB 2019</t>
        </r>
      </text>
    </comment>
    <comment ref="B60" authorId="1" shapeId="0" xr:uid="{00000000-0006-0000-1400-000015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Account # changed SEP 2018</t>
        </r>
      </text>
    </comment>
    <comment ref="B62" authorId="1" shapeId="0" xr:uid="{00000000-0006-0000-1400-000016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Account # changed from 15020999 SEP 2018</t>
        </r>
      </text>
    </comment>
    <comment ref="C62" authorId="3" shapeId="0" xr:uid="{00000000-0006-0000-1400-000017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D62" authorId="3" shapeId="0" xr:uid="{00000000-0006-0000-1400-000018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O64" authorId="0" shapeId="0" xr:uid="{00000000-0006-0000-1400-000019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apr-jul 2019
</t>
        </r>
      </text>
    </comment>
    <comment ref="B76" authorId="0" shapeId="0" xr:uid="{00000000-0006-0000-1400-00001A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changed from 10288600 in FEB 2020 after new owner
</t>
        </r>
      </text>
    </comment>
    <comment ref="V80" authorId="0" shapeId="0" xr:uid="{00000000-0006-0000-1400-00001B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Paid SEP 2020</t>
        </r>
      </text>
    </comment>
    <comment ref="W80" authorId="0" shapeId="0" xr:uid="{00000000-0006-0000-1400-00001C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Paid SEP 2020</t>
        </r>
      </text>
    </comment>
    <comment ref="X80" authorId="0" shapeId="0" xr:uid="{00000000-0006-0000-1400-00001D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Paid SEP 2020</t>
        </r>
      </text>
    </comment>
    <comment ref="Y80" authorId="0" shapeId="0" xr:uid="{00000000-0006-0000-1400-00001E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Paid SEP 2020</t>
        </r>
      </text>
    </comment>
    <comment ref="Z80" authorId="0" shapeId="0" xr:uid="{00000000-0006-0000-1400-00001F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Paid SEP 2020</t>
        </r>
      </text>
    </comment>
    <comment ref="Z82" authorId="0" shapeId="0" xr:uid="{00000000-0006-0000-1400-000020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Paid SEP 2020</t>
        </r>
      </text>
    </comment>
    <comment ref="D91" authorId="0" shapeId="0" xr:uid="{00000000-0006-0000-1400-000021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Name changed from Rodeway to Motel 6 NOV 2019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Arin Arnold</author>
    <author>Patricia J. Knight, CPA</author>
    <author>Arin Arnold-Davis</author>
  </authors>
  <commentList>
    <comment ref="B17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Updated 7007600
FEB 2019
</t>
        </r>
      </text>
    </comment>
    <comment ref="B2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New account number MAR 2019
Formerly 7007200</t>
        </r>
      </text>
    </comment>
    <comment ref="B33" authorId="0" shapeId="0" xr:uid="{00000000-0006-0000-1500-000003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Opened FEB 2019</t>
        </r>
      </text>
    </comment>
    <comment ref="B51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Account # changed SEP 2018</t>
        </r>
      </text>
    </comment>
    <comment ref="B53" authorId="0" shapeId="0" xr:uid="{00000000-0006-0000-1500-000005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Account # changed from 15020999 SEP 2018</t>
        </r>
      </text>
    </comment>
    <comment ref="C53" authorId="1" shapeId="0" xr:uid="{00000000-0006-0000-1500-000006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D53" authorId="1" shapeId="0" xr:uid="{00000000-0006-0000-1500-000007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L53" authorId="1" shapeId="0" xr:uid="{00000000-0006-0000-1500-000008000000}">
      <text>
        <r>
          <rPr>
            <b/>
            <sz val="9"/>
            <color indexed="81"/>
            <rFont val="Tahoma"/>
            <family val="2"/>
          </rPr>
          <t>Patricia J. Knight, CPA:</t>
        </r>
        <r>
          <rPr>
            <sz val="9"/>
            <color indexed="81"/>
            <rFont val="Tahoma"/>
            <family val="2"/>
          </rPr>
          <t xml:space="preserve">
Closed for renovations
</t>
        </r>
      </text>
    </comment>
    <comment ref="L63" authorId="1" shapeId="0" xr:uid="{00000000-0006-0000-1500-000009000000}">
      <text>
        <r>
          <rPr>
            <b/>
            <sz val="9"/>
            <color indexed="81"/>
            <rFont val="Tahoma"/>
            <family val="2"/>
          </rPr>
          <t>Patricia J. Knight, CPA:</t>
        </r>
        <r>
          <rPr>
            <sz val="9"/>
            <color indexed="81"/>
            <rFont val="Tahoma"/>
            <family val="2"/>
          </rPr>
          <t xml:space="preserve">
Sent in $0 return</t>
        </r>
      </text>
    </comment>
    <comment ref="B66" authorId="2" shapeId="0" xr:uid="{00000000-0006-0000-1500-00000A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changed from 10288600 in FEB 2020 after new owner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Arin Arnold</author>
    <author>Patricia J. Knight, CPA</author>
    <author>Arin Arnold-Davis</author>
  </authors>
  <commentList>
    <comment ref="B19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Updated 7007600
FEB 2019
</t>
        </r>
      </text>
    </comment>
    <comment ref="B31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New account number MAR 2019
Formerly 7007200</t>
        </r>
      </text>
    </comment>
    <comment ref="B36" authorId="0" shapeId="0" xr:uid="{00000000-0006-0000-1600-000003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Opened FEB 2019</t>
        </r>
      </text>
    </comment>
    <comment ref="B55" authorId="0" shapeId="0" xr:uid="{00000000-0006-0000-1600-000004000000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Account # changed SEP 2018</t>
        </r>
      </text>
    </comment>
    <comment ref="J62" authorId="1" shapeId="0" xr:uid="{50E91301-05EA-4315-A70E-5E0AAC12F01C}">
      <text>
        <r>
          <rPr>
            <b/>
            <sz val="9"/>
            <color indexed="81"/>
            <rFont val="Tahoma"/>
            <family val="2"/>
          </rPr>
          <t>Patricia J. Knight, CPA:</t>
        </r>
        <r>
          <rPr>
            <sz val="9"/>
            <color indexed="81"/>
            <rFont val="Tahoma"/>
            <family val="2"/>
          </rPr>
          <t xml:space="preserve">
Duplicate payment of $19509.79 made for OCT.  Used credit for JAN, FEB and partial in MAR</t>
        </r>
      </text>
    </comment>
    <comment ref="L62" authorId="1" shapeId="0" xr:uid="{4AD0A166-0488-4E1B-877C-C68C3AA0CB02}">
      <text>
        <r>
          <rPr>
            <b/>
            <sz val="9"/>
            <color indexed="81"/>
            <rFont val="Tahoma"/>
            <family val="2"/>
          </rPr>
          <t>Patricia J. Knight, CPA:</t>
        </r>
        <r>
          <rPr>
            <sz val="9"/>
            <color indexed="81"/>
            <rFont val="Tahoma"/>
            <family val="2"/>
          </rPr>
          <t xml:space="preserve">
Duplicate payment of $19509.79 made for OCT.  Used credit for JAN, FEB and partial in MAR</t>
        </r>
      </text>
    </comment>
    <comment ref="M62" authorId="1" shapeId="0" xr:uid="{91D19EE0-9AE8-49CD-A5FD-E15E0D272E6F}">
      <text>
        <r>
          <rPr>
            <b/>
            <sz val="9"/>
            <color indexed="81"/>
            <rFont val="Tahoma"/>
            <family val="2"/>
          </rPr>
          <t>Patricia J. Knight, CPA:</t>
        </r>
        <r>
          <rPr>
            <sz val="9"/>
            <color indexed="81"/>
            <rFont val="Tahoma"/>
            <family val="2"/>
          </rPr>
          <t xml:space="preserve">
Duplicate payment of $19509.79 made for OCT.  Used credit for JAN, FEB and partial in MAR</t>
        </r>
      </text>
    </comment>
    <comment ref="N62" authorId="1" shapeId="0" xr:uid="{058B6C38-C61C-418F-AEC1-EEFA80B10EBE}">
      <text>
        <r>
          <rPr>
            <b/>
            <sz val="9"/>
            <color indexed="81"/>
            <rFont val="Tahoma"/>
            <family val="2"/>
          </rPr>
          <t>Patricia J. Knight, CPA:</t>
        </r>
        <r>
          <rPr>
            <sz val="9"/>
            <color indexed="81"/>
            <rFont val="Tahoma"/>
            <family val="2"/>
          </rPr>
          <t xml:space="preserve">
Duplicate payment of $19509.79 made for OCT.  Used credit for JAN, FEB and partial in MAR</t>
        </r>
      </text>
    </comment>
    <comment ref="B69" authorId="2" shapeId="0" xr:uid="{00000000-0006-0000-1600-000006000000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changed from 10288600 in FEB 2020 after new owner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Arin Arnold</author>
    <author>Arin Arnold-Davis</author>
  </authors>
  <commentList>
    <comment ref="B20" authorId="0" shapeId="0" xr:uid="{96E2DD4D-E65E-473A-A372-C0CCBCBFAE08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Updated 7007600
FEB 2019
</t>
        </r>
      </text>
    </comment>
    <comment ref="B33" authorId="0" shapeId="0" xr:uid="{6F531AC5-B9DD-4DDA-AC88-F319C0724CD4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New account number MAR 2019
Formerly 7007200</t>
        </r>
      </text>
    </comment>
    <comment ref="B38" authorId="0" shapeId="0" xr:uid="{AAD6EF60-BE67-4A0B-8BDF-0B0507100064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Opened FEB 2019</t>
        </r>
      </text>
    </comment>
    <comment ref="B55" authorId="0" shapeId="0" xr:uid="{312C92A1-77AC-46FE-AA9F-E426044FA71B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Account # changed SEP 2018</t>
        </r>
      </text>
    </comment>
    <comment ref="B66" authorId="1" shapeId="0" xr:uid="{AE970197-1BA9-4FBA-AB96-03BD9FB43AEA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changed from 10288600 in FEB 2020 after new owner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Arin Arnold</author>
    <author>Arin Arnold-Davis</author>
  </authors>
  <commentList>
    <comment ref="B21" authorId="0" shapeId="0" xr:uid="{9CA73367-1A0C-4940-948A-DD7EF99BBE0F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Updated 7007600
FEB 2019
</t>
        </r>
      </text>
    </comment>
    <comment ref="B35" authorId="0" shapeId="0" xr:uid="{9E485999-3EBF-4345-B153-3B9774DCED22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New account number MAR 2019
Formerly 7007200</t>
        </r>
      </text>
    </comment>
    <comment ref="B42" authorId="0" shapeId="0" xr:uid="{6711DE91-E7D0-4704-A849-F40660CF585E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Opened FEB 2019</t>
        </r>
      </text>
    </comment>
    <comment ref="B60" authorId="0" shapeId="0" xr:uid="{78B50A1C-DCEE-4EF5-B3DB-AF34390CBD2B}">
      <text>
        <r>
          <rPr>
            <b/>
            <sz val="9"/>
            <color indexed="81"/>
            <rFont val="Tahoma"/>
            <family val="2"/>
          </rPr>
          <t>Arin Arnold:</t>
        </r>
        <r>
          <rPr>
            <sz val="9"/>
            <color indexed="81"/>
            <rFont val="Tahoma"/>
            <family val="2"/>
          </rPr>
          <t xml:space="preserve">
Account # changed SEP 2018</t>
        </r>
      </text>
    </comment>
    <comment ref="B70" authorId="1" shapeId="0" xr:uid="{2CC4BC13-74E3-4F97-86DC-D2061C15432D}">
      <text>
        <r>
          <rPr>
            <b/>
            <sz val="9"/>
            <color indexed="81"/>
            <rFont val="Tahoma"/>
            <family val="2"/>
          </rPr>
          <t>Arin Arnold-Davis:</t>
        </r>
        <r>
          <rPr>
            <sz val="9"/>
            <color indexed="81"/>
            <rFont val="Tahoma"/>
            <family val="2"/>
          </rPr>
          <t xml:space="preserve">
changed from 10288600 in FEB 2020 after new owner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J. Knight, CPA</author>
  </authors>
  <commentList>
    <comment ref="E6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E18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Best Western Conference Center</t>
        </r>
      </text>
    </comment>
    <comment ref="E45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Will be Candlewood Suites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J. Knight, CPA</author>
  </authors>
  <commentList>
    <comment ref="E6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E18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Best Western Conference Center</t>
        </r>
      </text>
    </comment>
    <comment ref="E45" authorId="0" shapeId="0" xr:uid="{00000000-0006-0000-0B00-000003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Will be Candlewood Suites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J. Knight, CPA</author>
  </authors>
  <commentList>
    <comment ref="E6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E20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Best Western Conference Center</t>
        </r>
      </text>
    </comment>
    <comment ref="E50" authorId="0" shapeId="0" xr:uid="{00000000-0006-0000-0C00-000003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Will be Candlewood Suites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J. Knight, CPA</author>
  </authors>
  <commentList>
    <comment ref="E6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E20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Best Western Conference Center</t>
        </r>
      </text>
    </comment>
    <comment ref="E51" authorId="0" shapeId="0" xr:uid="{00000000-0006-0000-0D00-000003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Will be Candlewood Suites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J. Knight, CPA</author>
    <author>Courtney Brown</author>
  </authors>
  <commentList>
    <comment ref="E21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Best Western Conference Center</t>
        </r>
      </text>
    </comment>
    <comment ref="F21" authorId="0" shapeId="0" xr:uid="{00000000-0006-0000-0E00-000002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Best Western Conference Center</t>
        </r>
      </text>
    </comment>
    <comment ref="C28" authorId="1" shapeId="0" xr:uid="{00000000-0006-0000-0E00-000003000000}">
      <text>
        <r>
          <rPr>
            <b/>
            <sz val="9"/>
            <color indexed="81"/>
            <rFont val="Tahoma"/>
            <family val="2"/>
          </rPr>
          <t>Courtney Brown:
Sold as of Dec 2013.  Old #15027288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3" authorId="1" shapeId="0" xr:uid="{00000000-0006-0000-0E00-000004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Old number: 7007900
Changed in Dec 2013</t>
        </r>
      </text>
    </comment>
    <comment ref="R34" authorId="1" shapeId="0" xr:uid="{00000000-0006-0000-0E00-000005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twice in Nov &amp; Dec 2013 (Refunded $12,267.71)</t>
        </r>
      </text>
    </comment>
    <comment ref="P36" authorId="1" shapeId="0" xr:uid="{00000000-0006-0000-0E00-000006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1886.89 paid in Aug 2014</t>
        </r>
      </text>
    </comment>
    <comment ref="E42" authorId="0" shapeId="0" xr:uid="{00000000-0006-0000-0E00-000007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F42" authorId="0" shapeId="0" xr:uid="{00000000-0006-0000-0E00-000008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R45" authorId="1" shapeId="0" xr:uid="{00000000-0006-0000-0E00-000009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twice in Nov &amp; Dec 2013 (Refunded $13,731.44)</t>
        </r>
      </text>
    </comment>
    <comment ref="R55" authorId="1" shapeId="0" xr:uid="{00000000-0006-0000-0E00-00000A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twice in Nov &amp; Dec 2013 (Refunded $4772.88)</t>
        </r>
      </text>
    </comment>
    <comment ref="E78" authorId="0" shapeId="0" xr:uid="{00000000-0006-0000-0E00-00000B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Will be Candlewood Suites
</t>
        </r>
      </text>
    </comment>
    <comment ref="F78" authorId="0" shapeId="0" xr:uid="{00000000-0006-0000-0E00-00000C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Will be Candlewood Suites
</t>
        </r>
      </text>
    </comment>
    <comment ref="P86" authorId="1" shapeId="0" xr:uid="{00000000-0006-0000-0E00-00000D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1886.89 paid in Aug 2014 for Holiday Inn Express-Leestown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Courtney Brown</author>
    <author>Patricia J. Knight, CPA</author>
  </authors>
  <commentList>
    <comment ref="N13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Sold in DEC 2014.  Now the Quality Inn 15036181</t>
        </r>
      </text>
    </comment>
    <comment ref="N14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Sold in DEC 2014.  Now the Quality Inn 15036181</t>
        </r>
      </text>
    </comment>
    <comment ref="C19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15021222
Acct # change in March 2015 for Feb occupancy</t>
        </r>
      </text>
    </comment>
    <comment ref="C21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New Acct # as of FEB 2015</t>
        </r>
      </text>
    </comment>
    <comment ref="R24" authorId="0" shapeId="0" xr:uid="{00000000-0006-0000-0F00-000005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$606 May payment reported again in Jun.  Removed in Jul, so not shown on this report.</t>
        </r>
      </text>
    </comment>
    <comment ref="E25" authorId="1" shapeId="0" xr:uid="{00000000-0006-0000-0F00-000006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Best Western Conference Center</t>
        </r>
      </text>
    </comment>
    <comment ref="F25" authorId="1" shapeId="0" xr:uid="{00000000-0006-0000-0F00-000007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Best Western Conference Center</t>
        </r>
      </text>
    </comment>
    <comment ref="E28" authorId="0" shapeId="0" xr:uid="{00000000-0006-0000-0F00-000008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Swann's Nest at Cygnet Farm
</t>
        </r>
      </text>
    </comment>
    <comment ref="C32" authorId="0" shapeId="0" xr:uid="{00000000-0006-0000-0F00-000009000000}">
      <text>
        <r>
          <rPr>
            <b/>
            <sz val="9"/>
            <color indexed="81"/>
            <rFont val="Tahoma"/>
            <family val="2"/>
          </rPr>
          <t>Courtney Brown:
Sold as of Dec 2013.  Old #15027288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3" authorId="0" shapeId="0" xr:uid="{00000000-0006-0000-0F00-00000A000000}">
      <text>
        <r>
          <rPr>
            <b/>
            <sz val="9"/>
            <color indexed="81"/>
            <rFont val="Tahoma"/>
            <family val="2"/>
          </rPr>
          <t xml:space="preserve">Courtney Brown:
</t>
        </r>
        <r>
          <rPr>
            <sz val="9"/>
            <color indexed="81"/>
            <rFont val="Tahoma"/>
            <family val="2"/>
          </rPr>
          <t>$1,475 paid in SEP 2015</t>
        </r>
        <r>
          <rPr>
            <sz val="9"/>
            <color indexed="81"/>
            <rFont val="Tahoma"/>
            <family val="2"/>
          </rPr>
          <t xml:space="preserve">
$5,500 paid in AUG 2015
$5,500 paid in JUL 2015
$5,500 paid in JUN 2015
</t>
        </r>
      </text>
    </comment>
    <comment ref="K33" authorId="0" shapeId="0" xr:uid="{00000000-0006-0000-0F00-00000B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$4,439.70 paid in SEP 2015</t>
        </r>
      </text>
    </comment>
    <comment ref="L33" authorId="0" shapeId="0" xr:uid="{00000000-0006-0000-0F00-00000C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$1,475.51 paid in SEP 2015
$4,963.79 &amp; $536.21 Paid Oct 2015</t>
        </r>
      </text>
    </comment>
    <comment ref="M33" authorId="0" shapeId="0" xr:uid="{00000000-0006-0000-0F00-00000D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$5500 - Pd in Jan 2016
$1981.59 - Pd in Feb 2017</t>
        </r>
      </text>
    </comment>
    <comment ref="N33" authorId="0" shapeId="0" xr:uid="{00000000-0006-0000-0F00-00000E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Jan 2016</t>
        </r>
      </text>
    </comment>
    <comment ref="O33" authorId="0" shapeId="0" xr:uid="{00000000-0006-0000-0F00-00000F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Mar 2016</t>
        </r>
      </text>
    </comment>
    <comment ref="P33" authorId="0" shapeId="0" xr:uid="{00000000-0006-0000-0F00-000010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Pd $5500 twice in APR 2016 &amp; Pd $5500 twice in JUN 2016</t>
        </r>
      </text>
    </comment>
    <comment ref="Q33" authorId="0" shapeId="0" xr:uid="{00000000-0006-0000-0F00-000011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$5500 in Jul 2016 &amp; another $5500 in Aug 2016 + $5500 in Oct 2016 + $5500 in Dec 2016 + $5500 in JAN 2017</t>
        </r>
      </text>
    </comment>
    <comment ref="R33" authorId="0" shapeId="0" xr:uid="{00000000-0006-0000-0F00-000012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$1,603.83 Paid Oct 2015
$5,500.00 Paid Jan 2016</t>
        </r>
      </text>
    </comment>
    <comment ref="G35" authorId="0" shapeId="0" xr:uid="{00000000-0006-0000-0F00-000013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From Apr &amp; May 2014 paid in Mar 2015
</t>
        </r>
      </text>
    </comment>
    <comment ref="J36" authorId="0" shapeId="0" xr:uid="{00000000-0006-0000-0F00-000014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Ramada LTD</t>
        </r>
      </text>
    </comment>
    <comment ref="J37" authorId="0" shapeId="0" xr:uid="{00000000-0006-0000-0F00-000015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Name changed to Guest House in Oct 2014
</t>
        </r>
      </text>
    </comment>
    <comment ref="K37" authorId="0" shapeId="0" xr:uid="{00000000-0006-0000-0F00-000016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Name changed to Guest House in Oct 2014
</t>
        </r>
      </text>
    </comment>
    <comment ref="L37" authorId="0" shapeId="0" xr:uid="{00000000-0006-0000-0F00-000017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Name changed to Guest House in Oct 2014
</t>
        </r>
      </text>
    </comment>
    <comment ref="M37" authorId="0" shapeId="0" xr:uid="{00000000-0006-0000-0F00-000018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Name changed to Guest House in Oct 2014
</t>
        </r>
      </text>
    </comment>
    <comment ref="N37" authorId="0" shapeId="0" xr:uid="{00000000-0006-0000-0F00-000019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Name changed to Guest House in Oct 2014
</t>
        </r>
      </text>
    </comment>
    <comment ref="C38" authorId="0" shapeId="0" xr:uid="{00000000-0006-0000-0F00-00001A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New Property as of JAN 2015 </t>
        </r>
      </text>
    </comment>
    <comment ref="N45" authorId="0" shapeId="0" xr:uid="{00000000-0006-0000-0F00-00001B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Sold in DEC 2014.  Now the Quality Inn 15036181</t>
        </r>
      </text>
    </comment>
    <comment ref="P47" authorId="0" shapeId="0" xr:uid="{00000000-0006-0000-0F00-00001C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Made 2 payments, 1 on 5/20 and one on 5/22</t>
        </r>
      </text>
    </comment>
    <comment ref="C51" authorId="0" shapeId="0" xr:uid="{00000000-0006-0000-0F00-00001D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7002100
Name changes Dec 2014 &amp; Jan 2015 but official on occupancy as of FEB 2015</t>
        </r>
      </text>
    </comment>
    <comment ref="E52" authorId="1" shapeId="0" xr:uid="{00000000-0006-0000-0F00-00001E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F52" authorId="1" shapeId="0" xr:uid="{00000000-0006-0000-0F00-00001F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J58" authorId="0" shapeId="0" xr:uid="{00000000-0006-0000-0F00-000020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Hotel Closed for Repairs after explosion in Sept 2014</t>
        </r>
      </text>
    </comment>
    <comment ref="K58" authorId="0" shapeId="0" xr:uid="{00000000-0006-0000-0F00-000021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Hotel Closed for Repairs after explosion in Sept 2014</t>
        </r>
      </text>
    </comment>
    <comment ref="L58" authorId="0" shapeId="0" xr:uid="{00000000-0006-0000-0F00-000022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Hotel Closed for Repairs after explosion in Sept 2014</t>
        </r>
      </text>
    </comment>
    <comment ref="N65" authorId="0" shapeId="0" xr:uid="{00000000-0006-0000-0F00-000023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Sold in DEC 2014.  Now the Quality Inn 15036181</t>
        </r>
      </text>
    </comment>
    <comment ref="N74" authorId="0" shapeId="0" xr:uid="{00000000-0006-0000-0F00-000024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Sold in DEC 2014.  Now the Quality Inn 15036181</t>
        </r>
      </text>
    </comment>
    <comment ref="C77" authorId="0" shapeId="0" xr:uid="{00000000-0006-0000-0F00-000025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New Property as of JAN 2015</t>
        </r>
      </text>
    </comment>
    <comment ref="C84" authorId="0" shapeId="0" xr:uid="{00000000-0006-0000-0F00-000026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15013110 &amp; 15038477</t>
        </r>
      </text>
    </comment>
    <comment ref="N85" authorId="0" shapeId="0" xr:uid="{00000000-0006-0000-0F00-000027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Sold in DEC 2014.  Now the Quality Inn 15036181</t>
        </r>
      </text>
    </comment>
    <comment ref="C88" authorId="0" shapeId="0" xr:uid="{00000000-0006-0000-0F00-000028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15021222
Acct # change in MAR 2015 for FEB Occupancy.
Same Acct # as Springhill Suites</t>
        </r>
      </text>
    </comment>
    <comment ref="C90" authorId="0" shapeId="0" xr:uid="{00000000-0006-0000-0F00-000029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15020277
Acct # change in MAR 2015 for FEB Occupancy</t>
        </r>
      </text>
    </comment>
    <comment ref="Q92" authorId="0" shapeId="0" xr:uid="{00000000-0006-0000-0F00-00002A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Now the Best Value Inn</t>
        </r>
      </text>
    </comment>
    <comment ref="J94" authorId="0" shapeId="0" xr:uid="{00000000-0006-0000-0F00-00002B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New Property as of Oct 2014</t>
        </r>
      </text>
    </comment>
    <comment ref="C97" authorId="0" shapeId="0" xr:uid="{00000000-0006-0000-0F00-00002C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15021222
Acct # change in MAR 2015 for FEB Occupancy.
Same acct # as Residence Inn-Pink Pigeon</t>
        </r>
      </text>
    </comment>
    <comment ref="O98" authorId="0" shapeId="0" xr:uid="{00000000-0006-0000-0F00-00002D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New Hotel as of April 2015</t>
        </r>
      </text>
    </comment>
    <comment ref="E103" authorId="1" shapeId="0" xr:uid="{00000000-0006-0000-0F00-00002E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Will be Candlewood Suites
</t>
        </r>
      </text>
    </comment>
    <comment ref="F103" authorId="1" shapeId="0" xr:uid="{00000000-0006-0000-0F00-00002F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Will be Candlewood Suites
</t>
        </r>
      </text>
    </comment>
    <comment ref="P106" authorId="0" shapeId="0" xr:uid="{00000000-0006-0000-0F00-000030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New Property in APR 2015</t>
        </r>
      </text>
    </comment>
    <comment ref="H113" authorId="0" shapeId="0" xr:uid="{00000000-0006-0000-0F00-000031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1886.89 from Apr 2014 Holiday Inn Express-Leestown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Courtney Brown</author>
    <author>Patricia J. Knight, CPA</author>
  </authors>
  <commentList>
    <comment ref="B3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15006238</t>
        </r>
      </text>
    </comment>
    <comment ref="N11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Pd $1716.31 in APR 2016
Pd $1678.85 in OCT 2016</t>
        </r>
      </text>
    </comment>
    <comment ref="B13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New Acct # Oct 2015</t>
        </r>
      </text>
    </comment>
    <comment ref="D13" authorId="0" shapeId="0" xr:uid="{00000000-0006-0000-1000-000004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Lexington H.I. Partners 15018015.  </t>
        </r>
      </text>
    </comment>
    <comment ref="E15" authorId="0" shapeId="0" xr:uid="{00000000-0006-0000-1000-000005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Named changed from Baymont to Comfort on March 2016 Occup Tax report for FEB nights</t>
        </r>
      </text>
    </comment>
    <comment ref="B19" authorId="0" shapeId="0" xr:uid="{00000000-0006-0000-1000-000006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15021222
Acct # change in March 2015 for Feb occupancy</t>
        </r>
      </text>
    </comment>
    <comment ref="B20" authorId="0" shapeId="0" xr:uid="{00000000-0006-0000-1000-000007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New Acct # in Jul 2015.  Replacing 15036315?</t>
        </r>
      </text>
    </comment>
    <comment ref="B22" authorId="0" shapeId="0" xr:uid="{00000000-0006-0000-1000-000008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New Acct # as of FEB 2015.  Formerly 15026269</t>
        </r>
      </text>
    </comment>
    <comment ref="L24" authorId="0" shapeId="0" xr:uid="{00000000-0006-0000-1000-000009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Oct 2016</t>
        </r>
      </text>
    </comment>
    <comment ref="N24" authorId="0" shapeId="0" xr:uid="{00000000-0006-0000-1000-00000A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Oct 2016</t>
        </r>
      </text>
    </comment>
    <comment ref="O24" authorId="0" shapeId="0" xr:uid="{00000000-0006-0000-1000-00000B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Oct 2016</t>
        </r>
      </text>
    </comment>
    <comment ref="P24" authorId="0" shapeId="0" xr:uid="{00000000-0006-0000-1000-00000C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Oct 2016</t>
        </r>
      </text>
    </comment>
    <comment ref="Q24" authorId="0" shapeId="0" xr:uid="{00000000-0006-0000-1000-00000D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Oct 2016</t>
        </r>
      </text>
    </comment>
    <comment ref="D26" authorId="1" shapeId="0" xr:uid="{00000000-0006-0000-1000-00000E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Best Western Conference Center</t>
        </r>
      </text>
    </comment>
    <comment ref="E26" authorId="1" shapeId="0" xr:uid="{00000000-0006-0000-1000-00000F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Best Western Conference Center</t>
        </r>
      </text>
    </comment>
    <comment ref="D29" authorId="0" shapeId="0" xr:uid="{00000000-0006-0000-1000-000010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Swann's Nest at Cygnet Farm
</t>
        </r>
      </text>
    </comment>
    <comment ref="B33" authorId="0" shapeId="0" xr:uid="{00000000-0006-0000-1000-000011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7006200</t>
        </r>
      </text>
    </comment>
    <comment ref="B38" authorId="0" shapeId="0" xr:uid="{00000000-0006-0000-1000-000012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New Property as of JAN 2015 </t>
        </r>
      </text>
    </comment>
    <comment ref="B49" authorId="0" shapeId="0" xr:uid="{00000000-0006-0000-1000-000013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7009900.  New Acct # in June 2015</t>
        </r>
      </text>
    </comment>
    <comment ref="B51" authorId="0" shapeId="0" xr:uid="{00000000-0006-0000-1000-000014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7002100
Name changes Dec 2014 &amp; Jan 2015 but official on occupancy as of FEB 2015</t>
        </r>
      </text>
    </comment>
    <comment ref="D52" authorId="1" shapeId="0" xr:uid="{00000000-0006-0000-1000-000015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E52" authorId="1" shapeId="0" xr:uid="{00000000-0006-0000-1000-000016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J59" authorId="0" shapeId="0" xr:uid="{00000000-0006-0000-1000-000017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Became JSK Investments 15051607 in Nov 2015.</t>
        </r>
      </text>
    </comment>
    <comment ref="G65" authorId="0" shapeId="0" xr:uid="{00000000-0006-0000-1000-000018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$124.80 in Jul &amp; Aug.  Deducted in Oct
</t>
        </r>
      </text>
    </comment>
    <comment ref="K69" authorId="0" shapeId="0" xr:uid="{00000000-0006-0000-1000-000019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$276.93 for Dec but then had $34.63 deducted for P &amp; I</t>
        </r>
      </text>
    </comment>
    <comment ref="O73" authorId="0" shapeId="0" xr:uid="{00000000-0006-0000-1000-00001A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Hotel closed</t>
        </r>
      </text>
    </comment>
    <comment ref="B75" authorId="0" shapeId="0" xr:uid="{00000000-0006-0000-1000-00001B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New Property as of JAN 2015</t>
        </r>
      </text>
    </comment>
    <comment ref="B79" authorId="0" shapeId="0" xr:uid="{00000000-0006-0000-1000-00001C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15007129</t>
        </r>
      </text>
    </comment>
    <comment ref="B82" authorId="0" shapeId="0" xr:uid="{00000000-0006-0000-1000-00001D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15013110 &amp; 15038477</t>
        </r>
      </text>
    </comment>
    <comment ref="B86" authorId="0" shapeId="0" xr:uid="{00000000-0006-0000-1000-00001E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New Acct Jul 2015.  Replacing 15036315 ?</t>
        </r>
      </text>
    </comment>
    <comment ref="B88" authorId="0" shapeId="0" xr:uid="{00000000-0006-0000-1000-00001F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15020277
Acct # change in MAR 2015 for FEB Occupancy</t>
        </r>
      </text>
    </comment>
    <comment ref="B89" authorId="0" shapeId="0" xr:uid="{00000000-0006-0000-1000-000020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15021222
Acct # change in MAR 2015 for FEB Occupancy.
Same Acct # as Springhill Suites</t>
        </r>
      </text>
    </comment>
    <comment ref="D91" authorId="0" shapeId="0" xr:uid="{00000000-0006-0000-1000-000021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Acct new in SEP 2017.  Paid July 2015 - Sep 2017 all at once.</t>
        </r>
      </text>
    </comment>
    <comment ref="F91" authorId="0" shapeId="0" xr:uid="{00000000-0006-0000-1000-000022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G91" authorId="0" shapeId="0" xr:uid="{00000000-0006-0000-1000-000023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H91" authorId="0" shapeId="0" xr:uid="{00000000-0006-0000-1000-000024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I91" authorId="0" shapeId="0" xr:uid="{00000000-0006-0000-1000-000025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J91" authorId="0" shapeId="0" xr:uid="{00000000-0006-0000-1000-000026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K91" authorId="0" shapeId="0" xr:uid="{00000000-0006-0000-1000-000027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L91" authorId="0" shapeId="0" xr:uid="{00000000-0006-0000-1000-000028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M91" authorId="0" shapeId="0" xr:uid="{00000000-0006-0000-1000-000029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N91" authorId="0" shapeId="0" xr:uid="{00000000-0006-0000-1000-00002A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O91" authorId="0" shapeId="0" xr:uid="{00000000-0006-0000-1000-00002B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P91" authorId="0" shapeId="0" xr:uid="{00000000-0006-0000-1000-00002C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Q91" authorId="0" shapeId="0" xr:uid="{00000000-0006-0000-1000-00002D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B92" authorId="0" shapeId="0" xr:uid="{00000000-0006-0000-1000-00002E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7008000.  Acct # changed in Oct 2014</t>
        </r>
      </text>
    </comment>
    <comment ref="B94" authorId="0" shapeId="0" xr:uid="{00000000-0006-0000-1000-00002F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Replaces 7004600. New as of SEP 2015</t>
        </r>
      </text>
    </comment>
    <comment ref="B95" authorId="0" shapeId="0" xr:uid="{00000000-0006-0000-1000-000030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15021222
Acct # change in MAR 2015 for FEB Occupancy.
Same acct # as Residence Inn-Pink Pigeon</t>
        </r>
      </text>
    </comment>
    <comment ref="B96" authorId="0" shapeId="0" xr:uid="{00000000-0006-0000-1000-000031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15036315.  Acct changed in Aug 2015 for Jul Occupancy Tax</t>
        </r>
      </text>
    </comment>
    <comment ref="D102" authorId="1" shapeId="0" xr:uid="{00000000-0006-0000-1000-000032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Will be Candlewood Suites
</t>
        </r>
      </text>
    </comment>
    <comment ref="E102" authorId="1" shapeId="0" xr:uid="{00000000-0006-0000-1000-000033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Will be Candlewood Suites
</t>
        </r>
      </text>
    </comment>
    <comment ref="B105" authorId="0" shapeId="0" xr:uid="{00000000-0006-0000-1000-000034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New Ownership Oct 2015.  Replaces 15032222</t>
        </r>
      </text>
    </comment>
    <comment ref="H108" authorId="0" shapeId="0" xr:uid="{00000000-0006-0000-1000-000035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Dec for Sep 2015 but then Check was returned.
Added to CVB deposit $3277.18 in Apr 2016 for FEB Occup Tax</t>
        </r>
      </text>
    </comment>
    <comment ref="M108" authorId="0" shapeId="0" xr:uid="{00000000-0006-0000-1000-000036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City says the Hotel was Closed</t>
        </r>
      </text>
    </comment>
    <comment ref="F122" authorId="0" shapeId="0" xr:uid="{00000000-0006-0000-1000-000037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Total short paid for JUL Occup of $34,366.30 paid in AUG Occup deposit</t>
        </r>
      </text>
    </comment>
    <comment ref="K122" authorId="0" shapeId="0" xr:uid="{00000000-0006-0000-1000-000038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Math error on city's part.  Paid in JAN 2016 deposit</t>
        </r>
      </text>
    </comment>
    <comment ref="M122" authorId="0" shapeId="0" xr:uid="{00000000-0006-0000-1000-000039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City adding $3277.18 to expected deposit of $428,731.09 bc of returned check for Jan '16 deducted twice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Courtney Brown</author>
    <author>Patricia J. Knight, CPA</author>
  </authors>
  <commentList>
    <comment ref="P3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Replaced by acct 15058010</t>
        </r>
      </text>
    </comment>
    <comment ref="D44" authorId="1" shapeId="0" xr:uid="{00000000-0006-0000-1100-000002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E44" authorId="1" shapeId="0" xr:uid="{00000000-0006-0000-1100-000003000000}">
      <text>
        <r>
          <rPr>
            <b/>
            <sz val="8"/>
            <color indexed="81"/>
            <rFont val="Tahoma"/>
            <family val="2"/>
          </rPr>
          <t>Patricia J. Knight, CPA:</t>
        </r>
        <r>
          <rPr>
            <sz val="8"/>
            <color indexed="81"/>
            <rFont val="Tahoma"/>
            <family val="2"/>
          </rPr>
          <t xml:space="preserve">
The Inn on Broadway
</t>
        </r>
      </text>
    </comment>
    <comment ref="Q45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Hotel being torn down in Aug 2017</t>
        </r>
      </text>
    </comment>
    <comment ref="H56" authorId="0" shapeId="0" xr:uid="{00000000-0006-0000-1100-000005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Business sold in Aug 2016</t>
        </r>
      </text>
    </comment>
    <comment ref="D83" authorId="0" shapeId="0" xr:uid="{00000000-0006-0000-1100-000006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Formerly Swann's Nest at Cygnet Farm
</t>
        </r>
      </text>
    </comment>
    <comment ref="D95" authorId="0" shapeId="0" xr:uid="{00000000-0006-0000-1100-000007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Acct new in SEP 2017.  Paid July 2015 - Sep 2017 all at once.</t>
        </r>
      </text>
    </comment>
    <comment ref="F95" authorId="0" shapeId="0" xr:uid="{00000000-0006-0000-1100-000008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G95" authorId="0" shapeId="0" xr:uid="{00000000-0006-0000-1100-000009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H95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I95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J95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K95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L95" authorId="0" shapeId="0" xr:uid="{00000000-0006-0000-1100-00000E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M95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N95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O9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P95" authorId="0" shapeId="0" xr:uid="{00000000-0006-0000-1100-000012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  <comment ref="Q9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Courtney Brown:</t>
        </r>
        <r>
          <rPr>
            <sz val="9"/>
            <color indexed="81"/>
            <rFont val="Tahoma"/>
            <family val="2"/>
          </rPr>
          <t xml:space="preserve">
Paid in SEP 2017</t>
        </r>
      </text>
    </comment>
  </commentList>
</comments>
</file>

<file path=xl/sharedStrings.xml><?xml version="1.0" encoding="utf-8"?>
<sst xmlns="http://schemas.openxmlformats.org/spreadsheetml/2006/main" count="6649" uniqueCount="1047">
  <si>
    <t>NAME OF BUSINESS</t>
  </si>
  <si>
    <t>KIMBALL HOUSE</t>
  </si>
  <si>
    <t>70051*01</t>
  </si>
  <si>
    <t>WALLER HOUSE</t>
  </si>
  <si>
    <t>BRYAN STATION INN</t>
  </si>
  <si>
    <t>CAMPBELL HOUSE INN</t>
  </si>
  <si>
    <t>CATALINA MOTEL</t>
  </si>
  <si>
    <t>CONGRESS INN MOTEL</t>
  </si>
  <si>
    <t>CONTINENTAL INN</t>
  </si>
  <si>
    <t>DAYS INN SOUTH</t>
  </si>
  <si>
    <t>DAYS MOTEL</t>
  </si>
  <si>
    <t>ECONO LODGE</t>
  </si>
  <si>
    <t>70012*02</t>
  </si>
  <si>
    <t>GRATZ PARK INN</t>
  </si>
  <si>
    <t>HAMPTON INN</t>
  </si>
  <si>
    <t>HILTON SUITES</t>
  </si>
  <si>
    <t>HOLIDAY INN NORTH</t>
  </si>
  <si>
    <t>HOLIDAY INN SOUTH</t>
  </si>
  <si>
    <t>DAYS INN LEXINGTON</t>
  </si>
  <si>
    <t>KEENELODGE MOTOR INN</t>
  </si>
  <si>
    <t>KENTUCKY INN</t>
  </si>
  <si>
    <t>KNIGHTS INN #536</t>
  </si>
  <si>
    <t>LA QUINTA MOTOR INN 560</t>
  </si>
  <si>
    <t>LEXINGTON MOTOR INN</t>
  </si>
  <si>
    <t>LEXINGTON SUPER 8 MOTEL</t>
  </si>
  <si>
    <t>NEW CIRCLE INN</t>
  </si>
  <si>
    <t>70031*01</t>
  </si>
  <si>
    <t>QUALITY INN NORTHWEST</t>
  </si>
  <si>
    <t>RADISSON PLAZA</t>
  </si>
  <si>
    <t>RED ROOF INN #44</t>
  </si>
  <si>
    <t>RED ROOF INN #184</t>
  </si>
  <si>
    <t>BEST WESTERN REGENCY</t>
  </si>
  <si>
    <t>RESIDENCE INN</t>
  </si>
  <si>
    <t>SHONEYS INN</t>
  </si>
  <si>
    <t>COMFORT INN</t>
  </si>
  <si>
    <t>SPORTSMAN MOTEL</t>
  </si>
  <si>
    <t>STUDIO PLUS #1</t>
  </si>
  <si>
    <t>SUNSET MOTEL</t>
  </si>
  <si>
    <t>STUDIO PLUS #2</t>
  </si>
  <si>
    <t>COURTYARD BY MARRIOTT</t>
  </si>
  <si>
    <t>SPRINGS MOTEL OF LEX</t>
  </si>
  <si>
    <t>MOTEL 6 #1142</t>
  </si>
  <si>
    <t>LEXINGTON FAIRFIELD INN</t>
  </si>
  <si>
    <t>LEXINGTON HAMPTON INN</t>
  </si>
  <si>
    <t>A TRUE INN</t>
  </si>
  <si>
    <t>BRAND HOUSE AT ROSE HILL</t>
  </si>
  <si>
    <t>COMFORT SUITES</t>
  </si>
  <si>
    <t xml:space="preserve">SILVER SPRINGS BED </t>
  </si>
  <si>
    <t>HOLIDAY INN EXPRESS-LEX</t>
  </si>
  <si>
    <t>SWANNS NEST B &amp; B</t>
  </si>
  <si>
    <t>EXTENDED STAY AMERICA</t>
  </si>
  <si>
    <t>BED &amp; BREAKFAST</t>
  </si>
  <si>
    <t>BRIDGESTREET ACCOMMODAT</t>
  </si>
  <si>
    <t>COUNTRY INN &amp; SUITES</t>
  </si>
  <si>
    <t>LEXINGTON COMFORT SUITES</t>
  </si>
  <si>
    <t>COURTYARD MARRIOTT LEX</t>
  </si>
  <si>
    <t>HILTON GARDEN INN</t>
  </si>
  <si>
    <t>SLEEP INN</t>
  </si>
  <si>
    <t>LEXINGTON EMBASSY SUITES</t>
  </si>
  <si>
    <t>RED ROOF INN SOUTHEAST</t>
  </si>
  <si>
    <t>HYATT REGENCY</t>
  </si>
  <si>
    <t>GREENLEAF INN</t>
  </si>
  <si>
    <t>70060*02</t>
  </si>
  <si>
    <t>RAMADA INN</t>
  </si>
  <si>
    <t>RAMADA LTD</t>
  </si>
  <si>
    <t>70070*01</t>
  </si>
  <si>
    <t>70025*01</t>
  </si>
  <si>
    <t>SHERATON SUITES - LEX</t>
  </si>
  <si>
    <t>70029*01</t>
  </si>
  <si>
    <t xml:space="preserve"> </t>
  </si>
  <si>
    <t>ECONOMY HOTELS I LLC</t>
  </si>
  <si>
    <t>70039*02</t>
  </si>
  <si>
    <t>70069*02</t>
  </si>
  <si>
    <t>70015*02</t>
  </si>
  <si>
    <t>FOUR POINTS BARCELO HOTEL</t>
  </si>
  <si>
    <t>70016*01</t>
  </si>
  <si>
    <t>RECTOR HAYDEN CORP LODG</t>
  </si>
  <si>
    <t>KNIGHTS INN (FORMERLY HOJO)</t>
  </si>
  <si>
    <t>70028*01</t>
  </si>
  <si>
    <t>70050*02</t>
  </si>
  <si>
    <t>BAYMONT INN &amp; SUITES</t>
  </si>
  <si>
    <t>MARRIOTT RESORT</t>
  </si>
  <si>
    <t>Acct No.</t>
  </si>
  <si>
    <t>EXTENDED STAY AMERICA #1</t>
  </si>
  <si>
    <t>EXTENDED STAY AMERICA #2</t>
  </si>
  <si>
    <t>GEORGE CLARKE HOUSE</t>
  </si>
  <si>
    <t>70040*01</t>
  </si>
  <si>
    <t xml:space="preserve">LEXINGTON RELOCATION </t>
  </si>
  <si>
    <t>Lyndon House</t>
  </si>
  <si>
    <t>QUALITY INN (Newtown Ct.)</t>
  </si>
  <si>
    <t>Residence Inn/Pink Pigeon Pwky</t>
  </si>
  <si>
    <t>Springhill Suites</t>
  </si>
  <si>
    <t>THOROUGHBRED HOSPITALITY, LLC</t>
  </si>
  <si>
    <t>Homewood Suites by Hilton</t>
  </si>
  <si>
    <t>Homes Suites</t>
  </si>
  <si>
    <t>Vesta Executive Housing, Inc.</t>
  </si>
  <si>
    <t>Super 8 Motel PuravLLC</t>
  </si>
  <si>
    <t>KENTUCYK INN</t>
  </si>
  <si>
    <t>University Inn Motel</t>
  </si>
  <si>
    <t>70051*02</t>
  </si>
  <si>
    <t>Best Western Downtown Hotel &amp; Suites</t>
  </si>
  <si>
    <t>MICROTEL INN</t>
  </si>
  <si>
    <t>The Martin House</t>
  </si>
  <si>
    <t>70032*01</t>
  </si>
  <si>
    <t>70089-01</t>
  </si>
  <si>
    <t>Homewood Suites by Hilton,#2</t>
  </si>
  <si>
    <t>70077*01</t>
  </si>
  <si>
    <t xml:space="preserve">DOUBLE TREE SUITES - RICH RD  </t>
  </si>
  <si>
    <t>Double Tree Suites-formerly 70070*01</t>
  </si>
  <si>
    <t>Lexington Relocation</t>
  </si>
  <si>
    <r>
      <t>MARRIOTT RESORT</t>
    </r>
    <r>
      <rPr>
        <sz val="8"/>
        <color indexed="10"/>
        <rFont val="Arial"/>
        <family val="2"/>
      </rPr>
      <t>**</t>
    </r>
  </si>
  <si>
    <t>Days Inn South/Om Sai Hospitality LLC</t>
  </si>
  <si>
    <t>Gratz Park Inn</t>
  </si>
  <si>
    <t>The Martin House/Hot Spot</t>
  </si>
  <si>
    <t>Bluegrass Extended Stay</t>
  </si>
  <si>
    <t>Aug 1999</t>
  </si>
  <si>
    <t>Jul 1999</t>
  </si>
  <si>
    <t>Sep 1999</t>
  </si>
  <si>
    <t>Oct 1999</t>
  </si>
  <si>
    <t>Jul 2000</t>
  </si>
  <si>
    <t>Aug 2000</t>
  </si>
  <si>
    <t>Sep 2000</t>
  </si>
  <si>
    <t>Oct 2000</t>
  </si>
  <si>
    <t>Jul 2001</t>
  </si>
  <si>
    <t>Nov 1999</t>
  </si>
  <si>
    <t>Dec 1999</t>
  </si>
  <si>
    <t>Jan 2000</t>
  </si>
  <si>
    <t>Feb 2000</t>
  </si>
  <si>
    <t>Mar 2000</t>
  </si>
  <si>
    <t>Apr 2000</t>
  </si>
  <si>
    <t>May 2000</t>
  </si>
  <si>
    <t>Jun 2000</t>
  </si>
  <si>
    <t>Nov 2000</t>
  </si>
  <si>
    <t>Dec 2000</t>
  </si>
  <si>
    <t>Jan 2001</t>
  </si>
  <si>
    <t>Feb 2001</t>
  </si>
  <si>
    <t>Mar 2001</t>
  </si>
  <si>
    <t>Apr 2001</t>
  </si>
  <si>
    <t>May 2001</t>
  </si>
  <si>
    <t>Jun 2001</t>
  </si>
  <si>
    <t>Total by month</t>
  </si>
  <si>
    <t>Total</t>
  </si>
  <si>
    <t>Monthly Average</t>
  </si>
  <si>
    <t>Annual Total</t>
  </si>
  <si>
    <t>Mar 2002</t>
  </si>
  <si>
    <t>Apr 2002</t>
  </si>
  <si>
    <t>May 2002</t>
  </si>
  <si>
    <t>Jun 2002</t>
  </si>
  <si>
    <t>Aug 2001</t>
  </si>
  <si>
    <t>Sep 2001</t>
  </si>
  <si>
    <t>Oct 2001</t>
  </si>
  <si>
    <t>Nov 2001</t>
  </si>
  <si>
    <t>Dec 2001</t>
  </si>
  <si>
    <t>Jan 2002</t>
  </si>
  <si>
    <t>Feb 2002</t>
  </si>
  <si>
    <t>Jan 2003</t>
  </si>
  <si>
    <t>Feb 2003</t>
  </si>
  <si>
    <t>Mar 2003</t>
  </si>
  <si>
    <t>Apr 2003</t>
  </si>
  <si>
    <t>May 2003</t>
  </si>
  <si>
    <t>Jun 2003</t>
  </si>
  <si>
    <t>Jul 2002</t>
  </si>
  <si>
    <t>Aug 2002</t>
  </si>
  <si>
    <t>Sep 2002</t>
  </si>
  <si>
    <t>Oct 2002</t>
  </si>
  <si>
    <t>Nov 2002</t>
  </si>
  <si>
    <t>Dec 2002</t>
  </si>
  <si>
    <t>Jul 2004</t>
  </si>
  <si>
    <t>Aug 2003</t>
  </si>
  <si>
    <t>Sep 2003</t>
  </si>
  <si>
    <t>Oct 2003</t>
  </si>
  <si>
    <t>Nov 2003</t>
  </si>
  <si>
    <t>Dec 2003</t>
  </si>
  <si>
    <t>Jul 2003</t>
  </si>
  <si>
    <t>Jan 2004</t>
  </si>
  <si>
    <t>Feb 2004</t>
  </si>
  <si>
    <t>Mar 2004</t>
  </si>
  <si>
    <t>Apr 2004</t>
  </si>
  <si>
    <t>May 2004</t>
  </si>
  <si>
    <t>Jun 2004</t>
  </si>
  <si>
    <t>Jan 2005</t>
  </si>
  <si>
    <t>Feb 2005</t>
  </si>
  <si>
    <t>Mar 2005</t>
  </si>
  <si>
    <t>Apr 2005</t>
  </si>
  <si>
    <t>May 2005</t>
  </si>
  <si>
    <t>Jun 2005</t>
  </si>
  <si>
    <t>Aug 2004</t>
  </si>
  <si>
    <t>Sep 2004</t>
  </si>
  <si>
    <t>Oct 2004</t>
  </si>
  <si>
    <t>Nov 2004</t>
  </si>
  <si>
    <t>Dec 2004</t>
  </si>
  <si>
    <t>Jan 2006</t>
  </si>
  <si>
    <t>Feb 2006</t>
  </si>
  <si>
    <t>Mar 2006</t>
  </si>
  <si>
    <t>Apr 2006</t>
  </si>
  <si>
    <t>May 2006</t>
  </si>
  <si>
    <t>Jun 2006</t>
  </si>
  <si>
    <t>Jul 2005</t>
  </si>
  <si>
    <t>Aug 2005</t>
  </si>
  <si>
    <t>Sep 2005</t>
  </si>
  <si>
    <t>Oct 2005</t>
  </si>
  <si>
    <t>Nov 2005</t>
  </si>
  <si>
    <t>Dec 2005</t>
  </si>
  <si>
    <t>Jan 2007</t>
  </si>
  <si>
    <t>Feb 2007</t>
  </si>
  <si>
    <t>Mar 2007</t>
  </si>
  <si>
    <t>Apr 2007</t>
  </si>
  <si>
    <t>May 2007</t>
  </si>
  <si>
    <t>Jun 2007</t>
  </si>
  <si>
    <t>Jul 2006</t>
  </si>
  <si>
    <t>Aug 2006</t>
  </si>
  <si>
    <t>Sep 2006</t>
  </si>
  <si>
    <t>Oct 2006</t>
  </si>
  <si>
    <t>Nov 2006</t>
  </si>
  <si>
    <t>Dec 2006</t>
  </si>
  <si>
    <t>Jan 2008</t>
  </si>
  <si>
    <t>Feb 2008</t>
  </si>
  <si>
    <t>Mar 2008</t>
  </si>
  <si>
    <t>Apr 2008</t>
  </si>
  <si>
    <t>May 2008</t>
  </si>
  <si>
    <t>Jun 2008</t>
  </si>
  <si>
    <t>Jul 2007</t>
  </si>
  <si>
    <t>Aug 2007</t>
  </si>
  <si>
    <t>Sep 2007</t>
  </si>
  <si>
    <t>Oct 2007</t>
  </si>
  <si>
    <t>Nov 2007</t>
  </si>
  <si>
    <t>Dec 2007</t>
  </si>
  <si>
    <t>Baymont Inn &amp; Suites</t>
  </si>
  <si>
    <t>Best Wester Regency</t>
  </si>
  <si>
    <t>Bryan Station Inn</t>
  </si>
  <si>
    <t>Catalina Motel</t>
  </si>
  <si>
    <t>Comfort Inn</t>
  </si>
  <si>
    <t>Comfort Suites</t>
  </si>
  <si>
    <t>Congress Inn Motel</t>
  </si>
  <si>
    <t>Country Inn &amp; Suites</t>
  </si>
  <si>
    <t>Courtyard by Marriott</t>
  </si>
  <si>
    <t>Courtyard by Marriott Lex</t>
  </si>
  <si>
    <t>Days Inn Lexington</t>
  </si>
  <si>
    <t>Days Inn South</t>
  </si>
  <si>
    <t>Days Motel</t>
  </si>
  <si>
    <t>Double Tree Suites - Richmond Rd</t>
  </si>
  <si>
    <t>Econo Lodge</t>
  </si>
  <si>
    <t>Extended Stay America</t>
  </si>
  <si>
    <t>Four Points Barcelo Hotel</t>
  </si>
  <si>
    <t>George Clarke House **CLOSED**</t>
  </si>
  <si>
    <t>Hampton Inn ** FSLG Properties **</t>
  </si>
  <si>
    <t>FLG Properties ** Hampton Inn **</t>
  </si>
  <si>
    <t>Hilton Garden Inn</t>
  </si>
  <si>
    <t>Hilton Suites</t>
  </si>
  <si>
    <t>Holiday Inn Express - Lex</t>
  </si>
  <si>
    <t>Holiday Inn North</t>
  </si>
  <si>
    <t>Holiday Inn South</t>
  </si>
  <si>
    <t>Homes Suites ** Bluegrass Extended Stay **</t>
  </si>
  <si>
    <t>Hyatt Regency</t>
  </si>
  <si>
    <t>Knights Inn #536</t>
  </si>
  <si>
    <t xml:space="preserve">Knights Inn   </t>
  </si>
  <si>
    <t>La Qquinta Motor Inn 560</t>
  </si>
  <si>
    <t>Keeneland Lodge  ** sold June 2007 **</t>
  </si>
  <si>
    <t>Lexington Comfort Suites</t>
  </si>
  <si>
    <t>Lexington Embassy Suites</t>
  </si>
  <si>
    <t>Lexington Fairfield Inn</t>
  </si>
  <si>
    <t>Lexington Hampton Inn</t>
  </si>
  <si>
    <t>Lexington Motor Inn</t>
  </si>
  <si>
    <t>Lexington Super 8 Motel</t>
  </si>
  <si>
    <t>Marriott Resort</t>
  </si>
  <si>
    <t>Microtel Inn</t>
  </si>
  <si>
    <t>Motel 6 #1142</t>
  </si>
  <si>
    <t>New Circle Inn</t>
  </si>
  <si>
    <t>Quality Inn (Newtown Ct.)</t>
  </si>
  <si>
    <t>Radisson Plaza</t>
  </si>
  <si>
    <t>Ramada Inn</t>
  </si>
  <si>
    <t>Ramada LTD</t>
  </si>
  <si>
    <t>Red Roof Inn - 7184  ** Red Roof # 44 **</t>
  </si>
  <si>
    <t>Red Roof Inn - 7044  ** Red Roof # 184 **</t>
  </si>
  <si>
    <t>Red Roof Inn #184  ** Red Roof # 7044 **</t>
  </si>
  <si>
    <t>Red Roof Inn #44  ** Red Roof # 7184 **</t>
  </si>
  <si>
    <t>Red Roof Inn Southeast</t>
  </si>
  <si>
    <t xml:space="preserve">Residence Inn </t>
  </si>
  <si>
    <t>Rodeway Inn</t>
  </si>
  <si>
    <t>Silver Springs Bed &amp; Breakfast ** closed **</t>
  </si>
  <si>
    <t>Sleep Inn</t>
  </si>
  <si>
    <t>Sportsman Motel</t>
  </si>
  <si>
    <t>Springs Motel of Lex</t>
  </si>
  <si>
    <t>Studio Plus #1</t>
  </si>
  <si>
    <t>Studio Plus #2</t>
  </si>
  <si>
    <t>Sunset Motel</t>
  </si>
  <si>
    <t>Swans Nest Bed &amp; Breakfast</t>
  </si>
  <si>
    <t>Thoroughbred Hospitality, LLC</t>
  </si>
  <si>
    <t>Jan 2009</t>
  </si>
  <si>
    <t>Feb 2009</t>
  </si>
  <si>
    <t>Mar 2009</t>
  </si>
  <si>
    <t>Apr 2009</t>
  </si>
  <si>
    <t>May 2009</t>
  </si>
  <si>
    <t>Jun 2009</t>
  </si>
  <si>
    <t>Jul 2008</t>
  </si>
  <si>
    <t>Aug 2008</t>
  </si>
  <si>
    <t>Sep 2008</t>
  </si>
  <si>
    <t>Oct 2008</t>
  </si>
  <si>
    <t>Nov 2008</t>
  </si>
  <si>
    <t>Dec 2008</t>
  </si>
  <si>
    <t>Dogwood Hotels (Holiday Inn South)</t>
  </si>
  <si>
    <t xml:space="preserve">Calculated current month </t>
  </si>
  <si>
    <t>1% - LFUCG Collection Fee</t>
  </si>
  <si>
    <t xml:space="preserve">LCVB Net </t>
  </si>
  <si>
    <t xml:space="preserve">4% - Gross LCVB  </t>
  </si>
  <si>
    <t xml:space="preserve">2% - LCC </t>
  </si>
  <si>
    <t>Year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</si>
  <si>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</si>
  <si>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</si>
  <si>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</si>
  <si>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</si>
  <si>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</si>
  <si>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</si>
  <si>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</si>
  <si>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</si>
  <si>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April</t>
  </si>
  <si>
    <t>May</t>
  </si>
  <si>
    <t>June</t>
  </si>
  <si>
    <t>March</t>
  </si>
  <si>
    <t>Total Receipts by Month</t>
  </si>
  <si>
    <t>% Change from Prior Year by Month</t>
  </si>
  <si>
    <t>% Annual Total Received, Year to Date</t>
  </si>
  <si>
    <t>Holiday Inn - Leestown Host</t>
  </si>
  <si>
    <t>Razor Cave Farm, LLC</t>
  </si>
  <si>
    <t>closed</t>
  </si>
  <si>
    <t>Hyatt Place</t>
  </si>
  <si>
    <t>Best Western Regency</t>
  </si>
  <si>
    <t>Holiday Inn Express</t>
  </si>
  <si>
    <t>Homewood Suites #1</t>
  </si>
  <si>
    <t>A True Inn</t>
  </si>
  <si>
    <t>New Circle Inn dba / Candlewood Suites</t>
  </si>
  <si>
    <t>MCR Tenant 3 LLC - Value Place</t>
  </si>
  <si>
    <t>Jan 2010</t>
  </si>
  <si>
    <t>Feb 2010</t>
  </si>
  <si>
    <t>Mar 2010</t>
  </si>
  <si>
    <t>Apr 2010</t>
  </si>
  <si>
    <t>May 2010</t>
  </si>
  <si>
    <t>Jun 2010</t>
  </si>
  <si>
    <t>Jul 2009</t>
  </si>
  <si>
    <t>Aug 2009</t>
  </si>
  <si>
    <t>Sep 2009</t>
  </si>
  <si>
    <t>Oct 2009</t>
  </si>
  <si>
    <t>Nov 2009</t>
  </si>
  <si>
    <t>Dec 2009</t>
  </si>
  <si>
    <t>Fairfield Inn - Hackney Place</t>
  </si>
  <si>
    <t>SFA Account</t>
  </si>
  <si>
    <t>Broadway Manor</t>
  </si>
  <si>
    <t>LaQuinta Inn &amp; Suites</t>
  </si>
  <si>
    <t>Paid in future month(s)</t>
  </si>
  <si>
    <t>Paid for past month(s)</t>
  </si>
  <si>
    <t>Hilton Downtown</t>
  </si>
  <si>
    <t>note</t>
  </si>
  <si>
    <t>Jul 2010</t>
  </si>
  <si>
    <t>Aug 2010</t>
  </si>
  <si>
    <t>Sep 2010</t>
  </si>
  <si>
    <t>Oct 2010</t>
  </si>
  <si>
    <t>Nov 2010</t>
  </si>
  <si>
    <t>Dec 2010</t>
  </si>
  <si>
    <t>Jan 2011</t>
  </si>
  <si>
    <t>Feb 2011</t>
  </si>
  <si>
    <t>Mar 2011</t>
  </si>
  <si>
    <t>Apr 2011</t>
  </si>
  <si>
    <t>May 2011</t>
  </si>
  <si>
    <t>Jun 2011</t>
  </si>
  <si>
    <t>Residence Inn - Wall Street</t>
  </si>
  <si>
    <t>The Carriage House on Main</t>
  </si>
  <si>
    <t>% Change</t>
  </si>
  <si>
    <t>Rachele Nader</t>
  </si>
  <si>
    <t>Stremph Investments (272 Fores Hill Dr)</t>
  </si>
  <si>
    <t>Sunset Motel ***PAYS QUARTERLY***</t>
  </si>
  <si>
    <t>CRM Account</t>
  </si>
  <si>
    <t>Jul 2011</t>
  </si>
  <si>
    <t>Aug 2011</t>
  </si>
  <si>
    <t>Sep 2011</t>
  </si>
  <si>
    <t>Oct 2011</t>
  </si>
  <si>
    <t>Nov 2011</t>
  </si>
  <si>
    <t>Dec 2011</t>
  </si>
  <si>
    <t>Jan 2012</t>
  </si>
  <si>
    <t>Feb 2012</t>
  </si>
  <si>
    <t>Mar 2012</t>
  </si>
  <si>
    <t>Apr 2012</t>
  </si>
  <si>
    <t>May 2012</t>
  </si>
  <si>
    <t>Jun 2012</t>
  </si>
  <si>
    <t>Lexington HI Partners</t>
  </si>
  <si>
    <t>Embassy Suites</t>
  </si>
  <si>
    <t>Candlewood Suites</t>
  </si>
  <si>
    <t>Leky Associates dba Crowne Plaza</t>
  </si>
  <si>
    <t>Four Points</t>
  </si>
  <si>
    <t>REDUCED FOR FOUR POINTS</t>
  </si>
  <si>
    <t>6% of Revenue Reported on Smith Travel</t>
  </si>
  <si>
    <t>Revenue Report to Smith Travel (per STR Report)</t>
  </si>
  <si>
    <t>$ Variance - Collected to Smith Travel</t>
  </si>
  <si>
    <t>% Variance - Collected to Smith Travel</t>
  </si>
  <si>
    <t xml:space="preserve">Sunset Motel </t>
  </si>
  <si>
    <t>Address</t>
  </si>
  <si>
    <t>467 West 2nd Street</t>
  </si>
  <si>
    <t>775 Newtown Pike</t>
  </si>
  <si>
    <t>1951 Pleasant Ridge</t>
  </si>
  <si>
    <t>1000 Export Street</t>
  </si>
  <si>
    <t>1780 Sharkey Way</t>
  </si>
  <si>
    <t>1950 Newtown Pike</t>
  </si>
  <si>
    <t>5556 Versailles Road</t>
  </si>
  <si>
    <t>2400 Buena Vista Drive</t>
  </si>
  <si>
    <t>2753 Richmond Road</t>
  </si>
  <si>
    <t>601 Ad Color Drive</t>
  </si>
  <si>
    <t>208 West New Circle Road</t>
  </si>
  <si>
    <t>273 East New Circle Road</t>
  </si>
  <si>
    <t>2381 Buena Vista Drive</t>
  </si>
  <si>
    <t>5531 Athens-Boonesboro Road</t>
  </si>
  <si>
    <t>2297 Executive Drive</t>
  </si>
  <si>
    <t>5575 Athens-Boonesboro Road</t>
  </si>
  <si>
    <t>5532 Athens Boonsboro Road</t>
  </si>
  <si>
    <t>1500 Versailles Road</t>
  </si>
  <si>
    <t>2601 Richmond Road</t>
  </si>
  <si>
    <t>5527 Athens-Boonesboro Road</t>
  </si>
  <si>
    <t>1801 Newtown Pike</t>
  </si>
  <si>
    <t>2221 Elkhorn Road</t>
  </si>
  <si>
    <t>2650 Wilhite Drive</t>
  </si>
  <si>
    <t>2100 Hackney Place</t>
  </si>
  <si>
    <t>120 West Second Street</t>
  </si>
  <si>
    <t>1973 Plaudit Place</t>
  </si>
  <si>
    <t>245 Lexington Green Circle</t>
  </si>
  <si>
    <t>249 Ruccio Way</t>
  </si>
  <si>
    <t>2033 Bryant Road</t>
  </si>
  <si>
    <t>3001 Bryant Road</t>
  </si>
  <si>
    <t>401 West Main Street</t>
  </si>
  <si>
    <t>369 West Main Street</t>
  </si>
  <si>
    <t>1935 Stanton Way</t>
  </si>
  <si>
    <t>100 Canebrake Drive</t>
  </si>
  <si>
    <t>1203 New Circle Road</t>
  </si>
  <si>
    <t>3131 Custer Drive</t>
  </si>
  <si>
    <t>507 North Broadway</t>
  </si>
  <si>
    <t>1800 Newtown Pike</t>
  </si>
  <si>
    <t>2370 Lake Park Road</t>
  </si>
  <si>
    <t>2240 Buena Vista Drive</t>
  </si>
  <si>
    <t>2260 Elkhorn Road</t>
  </si>
  <si>
    <t>588 NE New Circle Road</t>
  </si>
  <si>
    <t>750 Newtown Court</t>
  </si>
  <si>
    <t>2261 Elkhorn Road</t>
  </si>
  <si>
    <t>1980 Haggard Court</t>
  </si>
  <si>
    <t>2651 Willhite Drive</t>
  </si>
  <si>
    <t>3110 Wall Street</t>
  </si>
  <si>
    <t>2688 Pink Pigeon Parkway</t>
  </si>
  <si>
    <t>1920 Plaudit Place</t>
  </si>
  <si>
    <t>1107 Winchester Road</t>
  </si>
  <si>
    <t>863 South Broadway</t>
  </si>
  <si>
    <t>3463 Rosalie Road</t>
  </si>
  <si>
    <t>2351 Buena Vista Drive</t>
  </si>
  <si>
    <t>1229 South Limestone Street</t>
  </si>
  <si>
    <t>4020 Georgetown Road</t>
  </si>
  <si>
    <t>1375 South Broadway</t>
  </si>
  <si>
    <t>2143 North Broadway</t>
  </si>
  <si>
    <t>2750 Gribbin Drive</t>
  </si>
  <si>
    <t>3575 Tates Creek Road</t>
  </si>
  <si>
    <t>5532 Richmond Road</t>
  </si>
  <si>
    <t>1301 South Broadway</t>
  </si>
  <si>
    <t>1987 North Broadway</t>
  </si>
  <si>
    <t>1938 Stanton Way</t>
  </si>
  <si>
    <t>3060 Fieldstone Way</t>
  </si>
  <si>
    <t>3050 Lake Crest Circle</t>
  </si>
  <si>
    <t>LSREF2 Envoy Inn (formerly Holiday Inn Express)</t>
  </si>
  <si>
    <t>LSREF2 Baymont Inn &amp; Suites</t>
  </si>
  <si>
    <t>LSREF2 Best Western Regency</t>
  </si>
  <si>
    <t>CY of Lexington (Courtyard)</t>
  </si>
  <si>
    <t>Jan 2013</t>
  </si>
  <si>
    <t>Feb 2013</t>
  </si>
  <si>
    <t>Mar 2013</t>
  </si>
  <si>
    <t>Apr 2013</t>
  </si>
  <si>
    <t>May 2013</t>
  </si>
  <si>
    <t>Jun 2013</t>
  </si>
  <si>
    <t>Jul 2012</t>
  </si>
  <si>
    <t>Aug 2012</t>
  </si>
  <si>
    <t>Sep 2012</t>
  </si>
  <si>
    <t>Oct 2012</t>
  </si>
  <si>
    <t>Nov 2012</t>
  </si>
  <si>
    <t>Dec 2012</t>
  </si>
  <si>
    <t>Lexpoint LLC Four Points</t>
  </si>
  <si>
    <t>closed from fire</t>
  </si>
  <si>
    <t>Pondview Cottage</t>
  </si>
  <si>
    <t>Red Roof Inn - 10044</t>
  </si>
  <si>
    <t>Red Roof Inn - 10184</t>
  </si>
  <si>
    <t>Lexington H.I. Partners</t>
  </si>
  <si>
    <t>Travelodge (formerly Envoy)</t>
  </si>
  <si>
    <t>paid in Jun</t>
  </si>
  <si>
    <t>Howard Johnson (formerly Best Western)</t>
  </si>
  <si>
    <t>Jan 2014</t>
  </si>
  <si>
    <t>Feb 2014</t>
  </si>
  <si>
    <t>Mar 2014</t>
  </si>
  <si>
    <t>Apr 2014</t>
  </si>
  <si>
    <t>May 2014</t>
  </si>
  <si>
    <t>Jun 2014</t>
  </si>
  <si>
    <t>Jul 2013</t>
  </si>
  <si>
    <t>Aug 2013</t>
  </si>
  <si>
    <t>Sep 2013</t>
  </si>
  <si>
    <t>Oct 2013</t>
  </si>
  <si>
    <t>Nov 2013</t>
  </si>
  <si>
    <t>Dec 2013</t>
  </si>
  <si>
    <t>Four Points Sheraton</t>
  </si>
  <si>
    <t>Inn on Broadway</t>
  </si>
  <si>
    <t>2001 Bryant Road, LLC (Hyatt Place)</t>
  </si>
  <si>
    <t>Carriage House on Main</t>
  </si>
  <si>
    <t>Crowne Plaza (Leky Associates)</t>
  </si>
  <si>
    <t>Super 8 Motel</t>
  </si>
  <si>
    <t>Courtyard Marriott</t>
  </si>
  <si>
    <t>CY of Lexington Courtyard</t>
  </si>
  <si>
    <t>Days Inn</t>
  </si>
  <si>
    <t>Double Tree Suites</t>
  </si>
  <si>
    <t>Holiday Inn Express Leestown</t>
  </si>
  <si>
    <t>Knights Inn</t>
  </si>
  <si>
    <t>LaQuinta Motor Inn</t>
  </si>
  <si>
    <t>MCR Tenant 3 LLC (Value Place)</t>
  </si>
  <si>
    <t>Motel 6</t>
  </si>
  <si>
    <t>Hampton Inn/FLG Properties</t>
  </si>
  <si>
    <t>Lexington FP / formerly Four Points</t>
  </si>
  <si>
    <t>Roaring Fork Holding</t>
  </si>
  <si>
    <t>Holiday Inn Express - S. Broadway</t>
  </si>
  <si>
    <t>Homewood Suites by Hilton - Ruccio Way</t>
  </si>
  <si>
    <t>Lexington Hotel/dba Hilton Garden Inn</t>
  </si>
  <si>
    <t>The Campbell House</t>
  </si>
  <si>
    <t>Stremoh Investments (272 Fores Hill Dr)</t>
  </si>
  <si>
    <t>Lexington Fairfield Inn - Lakecrest Cir.</t>
  </si>
  <si>
    <t>Average change 2003 - 2013</t>
  </si>
  <si>
    <t>2014 variance 2003 - 2013 average</t>
  </si>
  <si>
    <t>Region</t>
  </si>
  <si>
    <t>PEOPLESOFT NAME (from City)</t>
  </si>
  <si>
    <t>New Circle Inn LLC DBA Super 8</t>
  </si>
  <si>
    <t>Ragurai LLC</t>
  </si>
  <si>
    <t>Leestown Host LLC</t>
  </si>
  <si>
    <t>Broadway Manor LLC</t>
  </si>
  <si>
    <t>Howard Johnson</t>
  </si>
  <si>
    <t>Hamburg</t>
  </si>
  <si>
    <t>Downtown</t>
  </si>
  <si>
    <t>I-75/Winchester Rd</t>
  </si>
  <si>
    <t>Richmond Road</t>
  </si>
  <si>
    <t>New Circle/Broadway</t>
  </si>
  <si>
    <t>Newtown</t>
  </si>
  <si>
    <t>I-75/Richmond Rd</t>
  </si>
  <si>
    <t>Beaumont</t>
  </si>
  <si>
    <t>I-75/Broadway</t>
  </si>
  <si>
    <t>Airport</t>
  </si>
  <si>
    <t>1-75/Newtown</t>
  </si>
  <si>
    <t>New Circle/Nicholasville Rd</t>
  </si>
  <si>
    <t>New Circle/Leestown</t>
  </si>
  <si>
    <t>South Broadway</t>
  </si>
  <si>
    <t>1-75/Newtown/KHP</t>
  </si>
  <si>
    <t>New Circle/Liberty Rd</t>
  </si>
  <si>
    <t>ManOWar/Alumni</t>
  </si>
  <si>
    <t>KHP</t>
  </si>
  <si>
    <t>New Circle/Winchester Rd</t>
  </si>
  <si>
    <t>New Circle/Tates Creek Rd.</t>
  </si>
  <si>
    <t>South Limestone</t>
  </si>
  <si>
    <t>Jul 2014</t>
  </si>
  <si>
    <t>Aug 2014</t>
  </si>
  <si>
    <t>Sep 2014</t>
  </si>
  <si>
    <t>Oct 2014</t>
  </si>
  <si>
    <t>Nov 2014</t>
  </si>
  <si>
    <t>Dec 2014</t>
  </si>
  <si>
    <t>Jan 2015</t>
  </si>
  <si>
    <t>Feb 2015</t>
  </si>
  <si>
    <t>Mar 2015</t>
  </si>
  <si>
    <t>Apr 2015</t>
  </si>
  <si>
    <t>May 2015</t>
  </si>
  <si>
    <t>Jun 2015</t>
  </si>
  <si>
    <t>Eighth Pole Inn</t>
  </si>
  <si>
    <t>Travelodge</t>
  </si>
  <si>
    <t>Guest House Inn &amp; Suites</t>
  </si>
  <si>
    <t>G6 Hospitality Property</t>
  </si>
  <si>
    <t>TPG Lexington LLC - Hyatt Regency</t>
  </si>
  <si>
    <t>Stremph Investments (272 Forest Hill Dr)</t>
  </si>
  <si>
    <t>Stremoh Investments (272 Forest Hill Dr)</t>
  </si>
  <si>
    <t>Campbell Fayette LLC</t>
  </si>
  <si>
    <t>Gratz Park Group LLC</t>
  </si>
  <si>
    <t>Hair Em Corporation</t>
  </si>
  <si>
    <t xml:space="preserve">Quality Inn   </t>
  </si>
  <si>
    <t>Staybridge Suites</t>
  </si>
  <si>
    <t>Michael W Satterly</t>
  </si>
  <si>
    <t>Michael W Satterly (Air B n B)</t>
  </si>
  <si>
    <t>Gregory A Fennelly</t>
  </si>
  <si>
    <t>Gregory A Fennelly (Air B n B)</t>
  </si>
  <si>
    <t>Quality Inn   (formerly Comfort Inn)</t>
  </si>
  <si>
    <t>Studio Plus #1/Extended Stay America #1</t>
  </si>
  <si>
    <t>Studio Plus #2/Extended Stay America #2</t>
  </si>
  <si>
    <t>Hair Em Corporation-Rachele Nader</t>
  </si>
  <si>
    <t>Katherine A Buckley</t>
  </si>
  <si>
    <t>Katherine A Buckley (Air B n B)</t>
  </si>
  <si>
    <t>Maureen McCormick</t>
  </si>
  <si>
    <t>Maureen McCormick (Air B n B)</t>
  </si>
  <si>
    <t>Michael Horton</t>
  </si>
  <si>
    <t>Michael Horton (Air B n B)</t>
  </si>
  <si>
    <t>TownePlace Suites by Marriott</t>
  </si>
  <si>
    <t>TownePlace Suites</t>
  </si>
  <si>
    <t>Fairfield Inn - Lakecrest Cir.</t>
  </si>
  <si>
    <t>Best Value Inn</t>
  </si>
  <si>
    <t>Best Value Inn/Formerly Rodeway Inn</t>
  </si>
  <si>
    <t>SE I LLC / Knights Inn</t>
  </si>
  <si>
    <t>Travertine Farm LLC</t>
  </si>
  <si>
    <t>Travertine Farm LLC (Air B n B) ?</t>
  </si>
  <si>
    <t>RBHV Lexington LLC/ Double Tree Suites</t>
  </si>
  <si>
    <t>Mahavir Enterprises LLC /Fairfield Inn</t>
  </si>
  <si>
    <t>Christopher S Kelly</t>
  </si>
  <si>
    <t>Christopher S Kelly (Air B n B)</t>
  </si>
  <si>
    <t>Home 2 Suites</t>
  </si>
  <si>
    <t>Madison Management LLC</t>
  </si>
  <si>
    <t>Rehistoric Properties LLC</t>
  </si>
  <si>
    <t>SOF X HSS 2001 Bryant Road OPCO LLC</t>
  </si>
  <si>
    <t>Holiday Inn Express &amp; Suites</t>
  </si>
  <si>
    <t>Nilakantha LLC / Holiday Inn Express &amp; Suites</t>
  </si>
  <si>
    <t>Jun 2016</t>
  </si>
  <si>
    <t>May 2016</t>
  </si>
  <si>
    <t>Apr 2016</t>
  </si>
  <si>
    <t>Mar 2016</t>
  </si>
  <si>
    <t>Feb 2016</t>
  </si>
  <si>
    <t>Jan 2016</t>
  </si>
  <si>
    <t>Dec 2015</t>
  </si>
  <si>
    <t>Nov 2015</t>
  </si>
  <si>
    <t>Oct 2015</t>
  </si>
  <si>
    <t>Sep 2015</t>
  </si>
  <si>
    <t>Aug 2015</t>
  </si>
  <si>
    <t>Jul 2015</t>
  </si>
  <si>
    <t>Gregory A Fennelly (Air B n B) 480 Lemondrop</t>
  </si>
  <si>
    <t>FLG Properties/Hampton Inn</t>
  </si>
  <si>
    <t>Hilton Suites- Lexington Green</t>
  </si>
  <si>
    <t>Holiday Inn Express - Leestown</t>
  </si>
  <si>
    <t>Homewood Suites by Hilton #2 - Bryant Rd.</t>
  </si>
  <si>
    <t>Staybridge Suites/Leestown Hotel Assn</t>
  </si>
  <si>
    <t>Lexington FP / Four Points Sheraton</t>
  </si>
  <si>
    <t>Quality Inn   /Janvi Hospitality LLC</t>
  </si>
  <si>
    <t>Econo Lodge/Radha Ventures LLC</t>
  </si>
  <si>
    <t>Taylor Francis F Madison Management LLC</t>
  </si>
  <si>
    <t>Days Inn Lexington/Central KY Lodging</t>
  </si>
  <si>
    <t>Residence Inn</t>
  </si>
  <si>
    <t>Residence Inn /Lex Ink Acquisition VII LLC</t>
  </si>
  <si>
    <t>Days Inn South/ Om Sai Hospitality LLC</t>
  </si>
  <si>
    <t>Microtel Inn/ JSM Management LLC</t>
  </si>
  <si>
    <t>Sleep Inn/ Hamburg Holdings LLC</t>
  </si>
  <si>
    <t>New Circle Inn/ Panash Inc.</t>
  </si>
  <si>
    <t>Best Value Inn/Shreeji Hospitality LLC</t>
  </si>
  <si>
    <t>Bank Deposit Amount</t>
  </si>
  <si>
    <t>1804 Vine LLC</t>
  </si>
  <si>
    <t>RB Lexington LLC dba Cambell House</t>
  </si>
  <si>
    <t>JSK Investments LLC/Clarion Hotel Newtown</t>
  </si>
  <si>
    <t>Clarion Hotel - Newtown</t>
  </si>
  <si>
    <t>Clarion South</t>
  </si>
  <si>
    <t>Clarion Hotel &amp; Conf Center South</t>
  </si>
  <si>
    <t>CVH Lexington LLC Home 2 Suites</t>
  </si>
  <si>
    <t>Lexington Hospitality TownePlace Suites by Marriott</t>
  </si>
  <si>
    <t>SOF X HSS 2033 Bryant Road Homewood Suites Lexington</t>
  </si>
  <si>
    <t>Crosslands</t>
  </si>
  <si>
    <t>Variance from Amount Due to LCVB</t>
  </si>
  <si>
    <t>CL OPCO LLC / Crosslands</t>
  </si>
  <si>
    <t>JSM Management LLC</t>
  </si>
  <si>
    <t>Courtyard Marriott - Hamburg</t>
  </si>
  <si>
    <t>21C Lexington Master Tenant LLC</t>
  </si>
  <si>
    <t>21C Lexington</t>
  </si>
  <si>
    <t>Comfort Suites Southeast</t>
  </si>
  <si>
    <t>LaQuinta Motor Inn 560</t>
  </si>
  <si>
    <t>Comfort Inn &amp; Suties / Baymont Inn &amp; Suites / Rainmaker Holdings II LLC</t>
  </si>
  <si>
    <t>Comfort Inn &amp; Suites (formerly Baymont Inn &amp; Suites)</t>
  </si>
  <si>
    <t>Nicholasville</t>
  </si>
  <si>
    <t>Winchester</t>
  </si>
  <si>
    <t>UK</t>
  </si>
  <si>
    <t>Uk</t>
  </si>
  <si>
    <t>Broadway</t>
  </si>
  <si>
    <t>newtown</t>
  </si>
  <si>
    <t>uk</t>
  </si>
  <si>
    <t>1804 Vine</t>
  </si>
  <si>
    <t>Rehistoric Properties</t>
  </si>
  <si>
    <t>Hampton Inn</t>
  </si>
  <si>
    <t>Hampton Inn - Nicholasville Road</t>
  </si>
  <si>
    <t>J &amp; Y Hospitality LLC - Super 8</t>
  </si>
  <si>
    <t xml:space="preserve">Hilton Suites  </t>
  </si>
  <si>
    <t>HSL Operating - Hilton Suites</t>
  </si>
  <si>
    <t>Jul 2016</t>
  </si>
  <si>
    <t>Aug 2016</t>
  </si>
  <si>
    <t>Sep 2016</t>
  </si>
  <si>
    <t>Oct 2016</t>
  </si>
  <si>
    <t>Nov 2016</t>
  </si>
  <si>
    <t>Dec 2016</t>
  </si>
  <si>
    <t>Jan 2017</t>
  </si>
  <si>
    <t>Feb 2017</t>
  </si>
  <si>
    <t>Jun 2017</t>
  </si>
  <si>
    <t>May 2017</t>
  </si>
  <si>
    <t>Apr 2017</t>
  </si>
  <si>
    <t>Mar 2017</t>
  </si>
  <si>
    <t>Rehistoric Properties 1</t>
  </si>
  <si>
    <t>Rehistoric Properties 2</t>
  </si>
  <si>
    <t>Rehistoric Properties 3</t>
  </si>
  <si>
    <t>Quality Inn</t>
  </si>
  <si>
    <t>Comfort Inn &amp; Suites</t>
  </si>
  <si>
    <t xml:space="preserve">Kelly, Christopher S </t>
  </si>
  <si>
    <t xml:space="preserve">Fennelly, Gregory A </t>
  </si>
  <si>
    <t>McCormick, Maureen</t>
  </si>
  <si>
    <t>Buckley, Katherine A</t>
  </si>
  <si>
    <t>Waters, Allan</t>
  </si>
  <si>
    <t>Comfort Suites Southeast / Radha Ventures LLC</t>
  </si>
  <si>
    <t>Woodspring Suites</t>
  </si>
  <si>
    <t>Satterly, Tony</t>
  </si>
  <si>
    <t>Larkin, Thomas</t>
  </si>
  <si>
    <t>Warren, Shirley M &amp; Larry</t>
  </si>
  <si>
    <t>**Occupancy Tax</t>
  </si>
  <si>
    <t>changed to 8.5%</t>
  </si>
  <si>
    <t>in SEP 2016</t>
  </si>
  <si>
    <t>2% - LCC (New Tax)</t>
  </si>
  <si>
    <t>0.05% - State</t>
  </si>
  <si>
    <t>Other</t>
  </si>
  <si>
    <t>other</t>
  </si>
  <si>
    <t>Wathan, Barbara and Don</t>
  </si>
  <si>
    <t>Comfort Inn &amp; Suites / Rainmaker Holdings II LLC</t>
  </si>
  <si>
    <t>Homestretch Holdings LLC</t>
  </si>
  <si>
    <t>Afsharian LLC</t>
  </si>
  <si>
    <t>Crosslands (formerly Extended Stay)</t>
  </si>
  <si>
    <t>Lexington Rental Homes of Kentucky Inc.</t>
  </si>
  <si>
    <t>Whaley, Mark A</t>
  </si>
  <si>
    <t>Balasuriya, Udeni</t>
  </si>
  <si>
    <t>Hart Featherston House</t>
  </si>
  <si>
    <t>TRS LEX LOWRY LLC</t>
  </si>
  <si>
    <t>VRBO Air B&amp; B / Balasuriya, Udeni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</si>
  <si>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</si>
  <si>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</si>
  <si>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</si>
  <si>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</si>
  <si>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</si>
  <si>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</si>
  <si>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</si>
  <si>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</si>
  <si>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</si>
  <si>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</si>
  <si>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</si>
  <si>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</si>
  <si>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SE I LLC Knights Inn</t>
  </si>
  <si>
    <t>Hasan, Farhana</t>
  </si>
  <si>
    <t>Residence Inn - Newtown Pike</t>
  </si>
  <si>
    <t>Kentucky Host / Hampton Inn - Nicholasville Road</t>
  </si>
  <si>
    <t>Best Value Inn / Rodeway Inn</t>
  </si>
  <si>
    <t>Howard Johnson Inn</t>
  </si>
  <si>
    <t>Satterly, Michael W.</t>
  </si>
  <si>
    <t>Year Opened</t>
  </si>
  <si>
    <t>Total Rooms</t>
  </si>
  <si>
    <t>Meeting Rooms</t>
  </si>
  <si>
    <t>Brand Flag</t>
  </si>
  <si>
    <t>Physical Address 1</t>
  </si>
  <si>
    <t>Physical City</t>
  </si>
  <si>
    <t>Physical State</t>
  </si>
  <si>
    <t>Physical Zip</t>
  </si>
  <si>
    <t>KY</t>
  </si>
  <si>
    <t>Lexington</t>
  </si>
  <si>
    <t>167 West Main Street</t>
  </si>
  <si>
    <t>21c Museum Hotel</t>
  </si>
  <si>
    <t>RLH Corp</t>
  </si>
  <si>
    <t>America's Best Value Inn</t>
  </si>
  <si>
    <t>The Campbell House Lexington, Curio Collection by Hilton</t>
  </si>
  <si>
    <t>Hilton</t>
  </si>
  <si>
    <t>603 Adcolor Drive</t>
  </si>
  <si>
    <t>IHG - InterContinental Hotels Group</t>
  </si>
  <si>
    <t>Choice Hotels</t>
  </si>
  <si>
    <t>Clarion Hotel Conference Center North</t>
  </si>
  <si>
    <t>5532 Athens-Boonesboro Rd</t>
  </si>
  <si>
    <t>Clarion Lexington South Hotel Conference Center</t>
  </si>
  <si>
    <t>Carlson Rezidor Hotels</t>
  </si>
  <si>
    <t>Crossland Economy Studios</t>
  </si>
  <si>
    <t>DoubleTree Suites by Hilton</t>
  </si>
  <si>
    <t>5527 Athens-Boonesboro Rd</t>
  </si>
  <si>
    <t>Econo Lodge South</t>
  </si>
  <si>
    <t>ESH Hospitality</t>
  </si>
  <si>
    <t>Fairfield Inn &amp; Suites Lexington North</t>
  </si>
  <si>
    <t>Marriott</t>
  </si>
  <si>
    <t>Fairfield Inn by Marriott</t>
  </si>
  <si>
    <t>GuestHouse Inn &amp; Suites</t>
  </si>
  <si>
    <t>Hilton Lexington Suites</t>
  </si>
  <si>
    <t>Hilton Lexington/Downtown</t>
  </si>
  <si>
    <t>369 W. Vine Street</t>
  </si>
  <si>
    <t>Hampton Inn Medical Center/UK</t>
  </si>
  <si>
    <t>1953 Nicholasville Road</t>
  </si>
  <si>
    <t>Homewood Suites by Hilton Lexington</t>
  </si>
  <si>
    <t>249  Ruccio Way</t>
  </si>
  <si>
    <t>Homewood Suites by Hilton Hamburg</t>
  </si>
  <si>
    <t>Wyndham Hotels</t>
  </si>
  <si>
    <t>2241 Elkhorn Road</t>
  </si>
  <si>
    <t>Hyatt</t>
  </si>
  <si>
    <t>2001 Bryant Road</t>
  </si>
  <si>
    <t>Hyatt Regency Lexington</t>
  </si>
  <si>
    <t>401 West High Street</t>
  </si>
  <si>
    <t>La Quinta Inn &amp; Suites</t>
  </si>
  <si>
    <t>Microtel Lexington</t>
  </si>
  <si>
    <t>Quality Inn Northwest</t>
  </si>
  <si>
    <t>Ramada Conference Center</t>
  </si>
  <si>
    <t>1080 Newtown Pike</t>
  </si>
  <si>
    <t>Residence Inn by Marriott North</t>
  </si>
  <si>
    <t>Residence Inn Keeneland/Airport</t>
  </si>
  <si>
    <t>Residence Inn South/Hamburg</t>
  </si>
  <si>
    <t>SpringHill Suites</t>
  </si>
  <si>
    <t>125 Louie Place</t>
  </si>
  <si>
    <t>WoodSpring Suites</t>
  </si>
  <si>
    <t>Lyndon House Bed &amp; Breakfast</t>
  </si>
  <si>
    <t>NA</t>
  </si>
  <si>
    <t>Lexington Relocation Services</t>
  </si>
  <si>
    <t>3131 Custer Drive, Suite 6</t>
  </si>
  <si>
    <t>Marriott / Starwood</t>
  </si>
  <si>
    <t>Four Points by Sheraton</t>
  </si>
  <si>
    <t>Hilton Garden Inn Lexington</t>
  </si>
  <si>
    <t>2255 Buena Vista Road</t>
  </si>
  <si>
    <t>Holiday Inn Express and Suites Lexington East</t>
  </si>
  <si>
    <t>Holiday Inn Express Hotel &amp; Suites Downtown</t>
  </si>
  <si>
    <t>Holiday Inn Express Hotel &amp; Suites Lexington Northeast</t>
  </si>
  <si>
    <t>126 East Lowry Lane</t>
  </si>
  <si>
    <t>Home2Suites by Hilton University/Medical Center</t>
  </si>
  <si>
    <t xml:space="preserve">LaQuinta Inn  </t>
  </si>
  <si>
    <t>1920 Stanton Way</t>
  </si>
  <si>
    <t>La Quinta Inn</t>
  </si>
  <si>
    <t>Griffin Gate Marriott Resort &amp; Spa</t>
  </si>
  <si>
    <t>Red Roof Inn North</t>
  </si>
  <si>
    <t>2651 Wilhite Drive</t>
  </si>
  <si>
    <t>Red Roof Inn South</t>
  </si>
  <si>
    <t>3060 Lakecrest Circle</t>
  </si>
  <si>
    <t>Hampton Inn South Keeneland-Airport</t>
  </si>
  <si>
    <t>2251 Elkhorn Road</t>
  </si>
  <si>
    <t>Hampton Inn Lexington I-75/Hamburg Area</t>
  </si>
  <si>
    <t>5575 Athens-Boonesboro Rd</t>
  </si>
  <si>
    <t>Day's Motor Lodge</t>
  </si>
  <si>
    <t>3100 Wall Street</t>
  </si>
  <si>
    <t>Courtyard Lexington Keeneland/Airport</t>
  </si>
  <si>
    <t>Courtyard Lexington South</t>
  </si>
  <si>
    <t>775 Newtown Court</t>
  </si>
  <si>
    <t>Courtyard Lexington North</t>
  </si>
  <si>
    <t>5531 Athens-Boonesboro Rd</t>
  </si>
  <si>
    <t>Comfort Inn South</t>
  </si>
  <si>
    <t>273 East New Circle Rd</t>
  </si>
  <si>
    <t>Comfort Suites Beaumont Center</t>
  </si>
  <si>
    <t>1790 Vendor Way</t>
  </si>
  <si>
    <t>CRM Account Name</t>
  </si>
  <si>
    <t>PPPatel LLC</t>
  </si>
  <si>
    <t>Knorr, Kim</t>
  </si>
  <si>
    <t>Kim Knorr</t>
  </si>
  <si>
    <t>Bluegrass Door LLC</t>
  </si>
  <si>
    <t>2018 YTD % variance</t>
  </si>
  <si>
    <t>2017 montly variance 2008 - 2017 average</t>
  </si>
  <si>
    <t>** average annual percentage change the past 10 years is 4.122773% **</t>
  </si>
  <si>
    <t>467 W. 2nd Street</t>
  </si>
  <si>
    <t>A True Inn (Bed &amp; Breakfast)</t>
  </si>
  <si>
    <t>350 S. Upper Street</t>
  </si>
  <si>
    <t>272 Forest Hill Drive</t>
  </si>
  <si>
    <t>1229 S. Limestone</t>
  </si>
  <si>
    <t>1203 E New Circle</t>
  </si>
  <si>
    <t xml:space="preserve">Sleep Inn </t>
  </si>
  <si>
    <t>AirBnB Inc.</t>
  </si>
  <si>
    <t>OTHER</t>
  </si>
  <si>
    <t>Surestay Plus</t>
  </si>
  <si>
    <t>Mangan Carma</t>
  </si>
  <si>
    <t>Downing, Howard G</t>
  </si>
  <si>
    <t>Barnett, Jerry</t>
  </si>
  <si>
    <t>Afshari, Ben</t>
  </si>
  <si>
    <t>Skyline CM Portfolio LLC</t>
  </si>
  <si>
    <t>Courtyard Marriott - North</t>
  </si>
  <si>
    <t>Ball Kerry B &amp; Tina Marie Interiors</t>
  </si>
  <si>
    <t>Holiday Inn Express Hamburg</t>
  </si>
  <si>
    <t>Essence of the Bluegrass</t>
  </si>
  <si>
    <t>The Sire Hotel</t>
  </si>
  <si>
    <t>Christian Samuel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</si>
  <si>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</si>
  <si>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</si>
  <si>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</si>
  <si>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</si>
  <si>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</si>
  <si>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</si>
  <si>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</si>
  <si>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</si>
  <si>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</si>
  <si>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</si>
  <si>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</si>
  <si>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</si>
  <si>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2018 YTD $ variance</t>
  </si>
  <si>
    <t>Total by month 2014 - 2018</t>
  </si>
  <si>
    <t>Average by month 2014 - 2018</t>
  </si>
  <si>
    <t>Monthly $ variance 2014 - 2018 average</t>
  </si>
  <si>
    <t>Monthly % variance 2014 - 2018 average</t>
  </si>
  <si>
    <t>Average 2009 - 2018</t>
  </si>
  <si>
    <t>Baymont Inn and Suites</t>
  </si>
  <si>
    <t>Davis, Mark</t>
  </si>
  <si>
    <t>Phares, Sharon</t>
  </si>
  <si>
    <t>Burke, John and Cathy</t>
  </si>
  <si>
    <t xml:space="preserve">Buckley, Katherine </t>
  </si>
  <si>
    <t>JC Butler/Aldridge House</t>
  </si>
  <si>
    <t>Casa Verde</t>
  </si>
  <si>
    <t>316 Pettit Place</t>
  </si>
  <si>
    <t>The Garden Vault</t>
  </si>
  <si>
    <t>Mulberry Hill</t>
  </si>
  <si>
    <t>Harp Innis Farm</t>
  </si>
  <si>
    <t>Fairfield Inn and Suites</t>
  </si>
  <si>
    <t>McDonald, Cameron M</t>
  </si>
  <si>
    <t>Comfort Suites - Beaumont</t>
  </si>
  <si>
    <t>Extended Stay America - Tates Creek</t>
  </si>
  <si>
    <t>Tates Creek</t>
  </si>
  <si>
    <t>Glo Best Western</t>
  </si>
  <si>
    <t>Marriott Resort - Griffin Gate</t>
  </si>
  <si>
    <t>Burris, Todd</t>
  </si>
  <si>
    <t>8.5% of Revenue Reported on Smith Travel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</si>
  <si>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</si>
  <si>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</si>
  <si>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</si>
  <si>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</si>
  <si>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</si>
  <si>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</si>
  <si>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</si>
  <si>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</si>
  <si>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</si>
  <si>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</si>
  <si>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</si>
  <si>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</si>
  <si>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Origin Hotel</t>
  </si>
  <si>
    <t>The Garden Vault/William McGoodwin</t>
  </si>
  <si>
    <t>Casa Verde/Sweet Lynn</t>
  </si>
  <si>
    <t>Motel 6 - Elkhorn</t>
  </si>
  <si>
    <t>Advanced Lodging Solutions</t>
  </si>
  <si>
    <t>Ardinn Farm LLC</t>
  </si>
  <si>
    <t>Kentucky Hill House Farms</t>
  </si>
  <si>
    <t>Big Blue Hospitality</t>
  </si>
  <si>
    <t>Embassy Suites by Hilton</t>
  </si>
  <si>
    <t>Lexington City Center Marriott</t>
  </si>
  <si>
    <t>Lexington City Center Residence Inn</t>
  </si>
  <si>
    <t>The Kentucky Life</t>
  </si>
  <si>
    <t>Kenton, Phillipi C</t>
  </si>
  <si>
    <t>Red Roof Inn</t>
  </si>
  <si>
    <t>Courtyard Lexington Hamburg</t>
  </si>
  <si>
    <t>Bluegrass Vacation Rentals</t>
  </si>
  <si>
    <t>The Farm LLC</t>
  </si>
  <si>
    <t>Rubinstein, Joshua</t>
  </si>
  <si>
    <t>2020 only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</si>
  <si>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</si>
  <si>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</si>
  <si>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</si>
  <si>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</si>
  <si>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</si>
  <si>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</si>
  <si>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</si>
  <si>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</si>
  <si>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</si>
  <si>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</si>
  <si>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</si>
  <si>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</si>
  <si>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America's Best Value Inn / Rodeway Inn</t>
  </si>
  <si>
    <t>Campbell House</t>
  </si>
  <si>
    <t>Kelly Christopher Enterprises LLC</t>
  </si>
  <si>
    <t>LaQuinta Lexington</t>
  </si>
  <si>
    <t>Peake Hospitality</t>
  </si>
  <si>
    <t>Lemon House</t>
  </si>
  <si>
    <t>Limestone House</t>
  </si>
  <si>
    <t>Thompson Girl</t>
  </si>
  <si>
    <t>Hilton Suites  (really the Embassy @ LEX Green)</t>
  </si>
  <si>
    <t>Leestown</t>
  </si>
  <si>
    <t>Room Revenue</t>
  </si>
  <si>
    <t>Extended Stay</t>
  </si>
  <si>
    <t>AirBnB</t>
  </si>
  <si>
    <t>Burke John and Cathly</t>
  </si>
  <si>
    <t>Senninger Ralph</t>
  </si>
  <si>
    <t>McGoodwin William III</t>
  </si>
  <si>
    <t>Pet 316 Pettit Place</t>
  </si>
  <si>
    <t>2021 Total</t>
  </si>
  <si>
    <t>airport</t>
  </si>
  <si>
    <t>beaumont</t>
  </si>
  <si>
    <t>broadway</t>
  </si>
  <si>
    <t>downtown</t>
  </si>
  <si>
    <t>hamburg</t>
  </si>
  <si>
    <t>nicholasville</t>
  </si>
  <si>
    <t xml:space="preserve">richmond </t>
  </si>
  <si>
    <t>winchester</t>
  </si>
  <si>
    <t>total</t>
  </si>
  <si>
    <t>Howard Kenneth</t>
  </si>
  <si>
    <t>Milestone Farm LLC</t>
  </si>
  <si>
    <t>Home 2 Suites Hamburg</t>
  </si>
  <si>
    <t>Garden Vault Scott L Romans CPA</t>
  </si>
  <si>
    <t>Non AirBnB</t>
  </si>
  <si>
    <t>Lexington Hampton Inn South</t>
  </si>
  <si>
    <t>Elwood Hotel</t>
  </si>
  <si>
    <t>Avid Hotel</t>
  </si>
  <si>
    <t>Candlewood Suites - Waller</t>
  </si>
  <si>
    <t>Residence Inn - Newtown Pike (Grand Prix)</t>
  </si>
  <si>
    <t>Comfort Suites - Blue City LEX</t>
  </si>
  <si>
    <t>Homeaway</t>
  </si>
  <si>
    <t>Evolve Vacation Rental Network</t>
  </si>
  <si>
    <t>Burke John and Cathy</t>
  </si>
  <si>
    <t>Magna Carma</t>
  </si>
  <si>
    <t># Rooms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</si>
  <si>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</si>
  <si>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</si>
  <si>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</si>
  <si>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</si>
  <si>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</si>
  <si>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</si>
  <si>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</si>
  <si>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</si>
  <si>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</si>
  <si>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</si>
  <si>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</si>
  <si>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</si>
  <si>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Nicholasville Road</t>
  </si>
  <si>
    <t xml:space="preserve">UK </t>
  </si>
  <si>
    <t>Winchester Road</t>
  </si>
  <si>
    <t>Advanced Lodging Solutions - Day Inn LEX</t>
  </si>
  <si>
    <t>Quality Inn / Mainstay</t>
  </si>
  <si>
    <t>STR</t>
  </si>
  <si>
    <t>str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</si>
  <si>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</si>
  <si>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</si>
  <si>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</si>
  <si>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</si>
  <si>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</si>
  <si>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</si>
  <si>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</si>
  <si>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</si>
  <si>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</si>
  <si>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</si>
  <si>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</si>
  <si>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</si>
  <si>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Waller on Inn</t>
  </si>
  <si>
    <t>Expedia</t>
  </si>
  <si>
    <t>JUL - JUN</t>
  </si>
  <si>
    <t>Athens Commons</t>
  </si>
  <si>
    <t>Kentucky Horse Park</t>
  </si>
  <si>
    <t>Red Roof - Elkhorn</t>
  </si>
  <si>
    <t>Woodward Property Rentals</t>
  </si>
  <si>
    <t>Rocket Travel</t>
  </si>
  <si>
    <t>Agoda International Travel</t>
  </si>
  <si>
    <t>JAN - JUN 2023</t>
  </si>
  <si>
    <t>Fairfield Inn &amp; Suites - Elkhorn</t>
  </si>
  <si>
    <t>JUL 2023</t>
  </si>
  <si>
    <t>AUG 2023</t>
  </si>
  <si>
    <t>SEP 2023</t>
  </si>
  <si>
    <t>OCT 2023</t>
  </si>
  <si>
    <t>NOV 2023</t>
  </si>
  <si>
    <t>DEC 2023</t>
  </si>
  <si>
    <t>JAN 2024</t>
  </si>
  <si>
    <t>FEB 2024</t>
  </si>
  <si>
    <t>MAR 2024</t>
  </si>
  <si>
    <t>APR 2024</t>
  </si>
  <si>
    <t>MAY 2024</t>
  </si>
  <si>
    <t>JUN 2024</t>
  </si>
  <si>
    <t>The Manchester</t>
  </si>
  <si>
    <t>Home 2 Suites Beaumont</t>
  </si>
  <si>
    <t>Properties by ACED LLC</t>
  </si>
  <si>
    <t>Ayala Robert</t>
  </si>
  <si>
    <t>FMRHC LLC</t>
  </si>
  <si>
    <t>Travelscape</t>
  </si>
  <si>
    <t>JUL - DEC 2023</t>
  </si>
  <si>
    <t>OTA</t>
  </si>
  <si>
    <t>ota</t>
  </si>
  <si>
    <t xml:space="preserve">JUL - JUN </t>
  </si>
  <si>
    <t>2024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</si>
</sst>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_);_(&quot;$&quot;* \(#,##0\);_(&quot;$&quot;* &quot;-&quot;??_);_(@_)"/>
    <numFmt numFmtId="166" formatCode="0.000%"/>
    <numFmt numFmtId="167" formatCode="_(* #,##0_);_(* \(#,##0\);_(* &quot;-&quot;??_);_(@_)"/>
    <numFmt numFmtId="168" formatCode="0.0000%"/>
    <numFmt numFmtId="169" formatCode="_(* #,##0.0000000_);_(* \(#,##0.0000000\);_(* &quot;-&quot;??_);_(@_)"/>
    <numFmt numFmtId="170" formatCode="[$-409]mmm\-yy;@"/>
    <numFmt numFmtId="171" formatCode="mm/dd/yy;@"/>
    <numFmt numFmtId="172" formatCode="_(* #,##0.00000000_);_(* \(#,##0.00000000\);_(* &quot;-&quot;??_);_(@_)"/>
    <numFmt numFmtId="173" formatCode="#,##0.000000000"/>
  </numFmts>
  <fonts count="20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 Unicode MS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8"/>
      <color indexed="22"/>
      <name val="Arial"/>
      <family val="2"/>
    </font>
    <font>
      <sz val="8"/>
      <color indexed="23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Arial"/>
      <family val="2"/>
    </font>
    <font>
      <sz val="8"/>
      <color theme="0" tint="-0.24997711111789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color theme="0"/>
      <name val="Arial"/>
      <family val="2"/>
    </font>
    <font>
      <sz val="10"/>
      <color rgb="FFFF000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/>
      <right/>
      <top/>
      <bottom style="thin">
        <color rgb="FF99FFCC"/>
      </bottom>
      <diagonal/>
    </border>
    <border>
      <left/>
      <right style="thin">
        <color rgb="FF99FFCC"/>
      </right>
      <top/>
      <bottom/>
      <diagonal/>
    </border>
    <border diagonalUp="1" diagonalDown="1">
      <left/>
      <right/>
      <top/>
      <bottom style="thick">
        <color rgb="FF99FFCC"/>
      </bottom>
      <diagonal style="thin">
        <color indexed="64"/>
      </diagonal>
    </border>
    <border>
      <left style="thin">
        <color rgb="FF99FFCC"/>
      </left>
      <right style="thin">
        <color rgb="FF99FFCC"/>
      </right>
      <top/>
      <bottom style="thick">
        <color rgb="FF99FFCC"/>
      </bottom>
      <diagonal/>
    </border>
    <border>
      <left style="thin">
        <color rgb="FF99FFCC"/>
      </left>
      <right style="medium">
        <color rgb="FFFFCC99"/>
      </right>
      <top/>
      <bottom/>
      <diagonal/>
    </border>
    <border diagonalUp="1" diagonalDown="1">
      <left/>
      <right/>
      <top/>
      <bottom style="medium">
        <color rgb="FFFFCC99"/>
      </bottom>
      <diagonal style="thin">
        <color indexed="64"/>
      </diagonal>
    </border>
    <border>
      <left style="medium">
        <color rgb="FFFFCC99"/>
      </left>
      <right style="medium">
        <color rgb="FFFFCC99"/>
      </right>
      <top style="medium">
        <color rgb="FFFFCC99"/>
      </top>
      <bottom style="medium">
        <color rgb="FFFFCC99"/>
      </bottom>
      <diagonal/>
    </border>
    <border diagonalUp="1" diagonalDown="1">
      <left/>
      <right/>
      <top/>
      <bottom style="thin">
        <color rgb="FF0099FF"/>
      </bottom>
      <diagonal style="thin">
        <color indexed="64"/>
      </diagonal>
    </border>
    <border>
      <left/>
      <right style="thin">
        <color rgb="FF0099FF"/>
      </right>
      <top/>
      <bottom/>
      <diagonal/>
    </border>
    <border>
      <left style="thin">
        <color rgb="FF0099FF"/>
      </left>
      <right style="thin">
        <color rgb="FF0099FF"/>
      </right>
      <top style="thin">
        <color rgb="FF0099FF"/>
      </top>
      <bottom style="thin">
        <color rgb="FF0099FF"/>
      </bottom>
      <diagonal/>
    </border>
    <border diagonalUp="1" diagonalDown="1">
      <left/>
      <right/>
      <top/>
      <bottom/>
      <diagonal style="dotted">
        <color auto="1"/>
      </diagonal>
    </border>
    <border>
      <left/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91">
    <xf numFmtId="0" fontId="0" fillId="0" borderId="0" xfId="0"/>
    <xf numFmtId="0" fontId="2" fillId="0" borderId="0" xfId="0" applyFont="1"/>
    <xf numFmtId="0" fontId="2" fillId="0" borderId="0" xfId="0" quotePrefix="1" applyFont="1"/>
    <xf numFmtId="44" fontId="2" fillId="0" borderId="0" xfId="2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0" xfId="2" applyFont="1"/>
    <xf numFmtId="44" fontId="2" fillId="0" borderId="0" xfId="2" applyFont="1" applyAlignment="1">
      <alignment horizontal="right"/>
    </xf>
    <xf numFmtId="0" fontId="2" fillId="0" borderId="0" xfId="0" applyFont="1" applyAlignment="1">
      <alignment horizontal="center"/>
    </xf>
    <xf numFmtId="44" fontId="2" fillId="0" borderId="0" xfId="0" applyNumberFormat="1" applyFont="1"/>
    <xf numFmtId="4" fontId="2" fillId="0" borderId="0" xfId="0" applyNumberFormat="1" applyFont="1" applyAlignment="1">
      <alignment horizontal="center"/>
    </xf>
    <xf numFmtId="4" fontId="2" fillId="0" borderId="0" xfId="0" applyNumberFormat="1" applyFont="1"/>
    <xf numFmtId="0" fontId="2" fillId="0" borderId="0" xfId="3" applyFont="1"/>
    <xf numFmtId="0" fontId="2" fillId="2" borderId="0" xfId="0" applyFont="1" applyFill="1"/>
    <xf numFmtId="44" fontId="2" fillId="0" borderId="0" xfId="2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14" fontId="4" fillId="0" borderId="1" xfId="0" quotePrefix="1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0" borderId="1" xfId="2" quotePrefix="1" applyNumberFormat="1" applyFont="1" applyBorder="1" applyAlignment="1">
      <alignment horizontal="center"/>
    </xf>
    <xf numFmtId="44" fontId="4" fillId="0" borderId="1" xfId="2" quotePrefix="1" applyFont="1" applyBorder="1" applyAlignment="1">
      <alignment horizontal="center"/>
    </xf>
    <xf numFmtId="14" fontId="4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/>
    <xf numFmtId="44" fontId="2" fillId="0" borderId="1" xfId="2" applyFont="1" applyBorder="1"/>
    <xf numFmtId="14" fontId="4" fillId="0" borderId="1" xfId="2" applyNumberFormat="1" applyFont="1" applyBorder="1" applyAlignment="1">
      <alignment horizontal="center" wrapText="1"/>
    </xf>
    <xf numFmtId="2" fontId="2" fillId="0" borderId="1" xfId="0" applyNumberFormat="1" applyFont="1" applyBorder="1"/>
    <xf numFmtId="44" fontId="2" fillId="0" borderId="0" xfId="2" applyFont="1" applyBorder="1"/>
    <xf numFmtId="2" fontId="2" fillId="0" borderId="0" xfId="0" applyNumberFormat="1" applyFont="1"/>
    <xf numFmtId="44" fontId="2" fillId="0" borderId="0" xfId="2" applyFont="1" applyFill="1" applyAlignment="1">
      <alignment horizontal="right"/>
    </xf>
    <xf numFmtId="44" fontId="2" fillId="0" borderId="0" xfId="2" applyFont="1" applyFill="1"/>
    <xf numFmtId="44" fontId="2" fillId="0" borderId="0" xfId="2" applyFont="1" applyFill="1" applyBorder="1"/>
    <xf numFmtId="44" fontId="2" fillId="0" borderId="1" xfId="0" applyNumberFormat="1" applyFont="1" applyBorder="1"/>
    <xf numFmtId="44" fontId="2" fillId="0" borderId="1" xfId="2" applyFont="1" applyFill="1" applyBorder="1"/>
    <xf numFmtId="44" fontId="2" fillId="0" borderId="0" xfId="2" applyFont="1" applyFill="1" applyAlignment="1">
      <alignment horizontal="center"/>
    </xf>
    <xf numFmtId="44" fontId="2" fillId="2" borderId="0" xfId="2" applyFont="1" applyFill="1"/>
    <xf numFmtId="164" fontId="2" fillId="2" borderId="0" xfId="0" applyNumberFormat="1" applyFont="1" applyFill="1"/>
    <xf numFmtId="8" fontId="2" fillId="0" borderId="0" xfId="2" applyNumberFormat="1" applyFont="1" applyAlignment="1">
      <alignment horizontal="right"/>
    </xf>
    <xf numFmtId="7" fontId="2" fillId="0" borderId="0" xfId="2" applyNumberFormat="1" applyFont="1"/>
    <xf numFmtId="44" fontId="2" fillId="2" borderId="0" xfId="2" applyFont="1" applyFill="1" applyAlignment="1">
      <alignment horizontal="center"/>
    </xf>
    <xf numFmtId="14" fontId="2" fillId="0" borderId="0" xfId="0" applyNumberFormat="1" applyFont="1"/>
    <xf numFmtId="0" fontId="2" fillId="0" borderId="0" xfId="3" applyFont="1" applyAlignment="1">
      <alignment horizontal="left"/>
    </xf>
    <xf numFmtId="44" fontId="2" fillId="2" borderId="0" xfId="2" applyFont="1" applyFill="1" applyBorder="1"/>
    <xf numFmtId="164" fontId="2" fillId="0" borderId="1" xfId="0" applyNumberFormat="1" applyFont="1" applyBorder="1"/>
    <xf numFmtId="164" fontId="2" fillId="0" borderId="0" xfId="0" applyNumberFormat="1" applyFont="1"/>
    <xf numFmtId="4" fontId="2" fillId="2" borderId="0" xfId="0" applyNumberFormat="1" applyFont="1" applyFill="1"/>
    <xf numFmtId="44" fontId="2" fillId="0" borderId="2" xfId="2" applyFont="1" applyFill="1" applyBorder="1"/>
    <xf numFmtId="44" fontId="8" fillId="0" borderId="0" xfId="2" applyFont="1" applyBorder="1"/>
    <xf numFmtId="44" fontId="2" fillId="0" borderId="0" xfId="2" applyFont="1" applyFill="1" applyBorder="1" applyAlignment="1">
      <alignment horizontal="center"/>
    </xf>
    <xf numFmtId="44" fontId="7" fillId="2" borderId="0" xfId="2" applyFont="1" applyFill="1" applyBorder="1"/>
    <xf numFmtId="0" fontId="2" fillId="0" borderId="1" xfId="3" applyFont="1" applyBorder="1" applyAlignment="1">
      <alignment horizontal="left"/>
    </xf>
    <xf numFmtId="0" fontId="2" fillId="0" borderId="1" xfId="3" applyFont="1" applyBorder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44" fontId="2" fillId="3" borderId="0" xfId="2" applyFont="1" applyFill="1"/>
    <xf numFmtId="44" fontId="2" fillId="3" borderId="0" xfId="0" applyNumberFormat="1" applyFont="1" applyFill="1"/>
    <xf numFmtId="0" fontId="2" fillId="3" borderId="0" xfId="3" applyFont="1" applyFill="1" applyAlignment="1">
      <alignment horizontal="left"/>
    </xf>
    <xf numFmtId="0" fontId="2" fillId="3" borderId="0" xfId="3" applyFont="1" applyFill="1"/>
    <xf numFmtId="164" fontId="2" fillId="3" borderId="0" xfId="0" applyNumberFormat="1" applyFont="1" applyFill="1"/>
    <xf numFmtId="44" fontId="2" fillId="3" borderId="0" xfId="2" applyFont="1" applyFill="1" applyBorder="1"/>
    <xf numFmtId="0" fontId="9" fillId="3" borderId="0" xfId="0" applyFont="1" applyFill="1"/>
    <xf numFmtId="14" fontId="4" fillId="0" borderId="1" xfId="2" quotePrefix="1" applyNumberFormat="1" applyFont="1" applyFill="1" applyBorder="1" applyAlignment="1">
      <alignment horizontal="center"/>
    </xf>
    <xf numFmtId="44" fontId="4" fillId="0" borderId="1" xfId="2" quotePrefix="1" applyFont="1" applyFill="1" applyBorder="1" applyAlignment="1">
      <alignment horizontal="center"/>
    </xf>
    <xf numFmtId="14" fontId="4" fillId="0" borderId="1" xfId="2" applyNumberFormat="1" applyFont="1" applyFill="1" applyBorder="1" applyAlignment="1">
      <alignment horizontal="center" wrapText="1"/>
    </xf>
    <xf numFmtId="0" fontId="9" fillId="0" borderId="0" xfId="0" applyFont="1"/>
    <xf numFmtId="8" fontId="2" fillId="0" borderId="0" xfId="2" applyNumberFormat="1" applyFont="1" applyFill="1" applyAlignment="1">
      <alignment horizontal="right"/>
    </xf>
    <xf numFmtId="9" fontId="2" fillId="0" borderId="0" xfId="0" applyNumberFormat="1" applyFont="1"/>
    <xf numFmtId="43" fontId="2" fillId="0" borderId="0" xfId="1" applyFont="1" applyFill="1"/>
    <xf numFmtId="43" fontId="2" fillId="0" borderId="1" xfId="1" applyFont="1" applyFill="1" applyBorder="1"/>
    <xf numFmtId="43" fontId="2" fillId="0" borderId="0" xfId="0" applyNumberFormat="1" applyFont="1"/>
    <xf numFmtId="43" fontId="2" fillId="0" borderId="1" xfId="0" applyNumberFormat="1" applyFont="1" applyBorder="1"/>
    <xf numFmtId="165" fontId="2" fillId="0" borderId="0" xfId="2" applyNumberFormat="1" applyFont="1" applyFill="1"/>
    <xf numFmtId="165" fontId="2" fillId="0" borderId="0" xfId="2" applyNumberFormat="1" applyFont="1" applyFill="1" applyBorder="1"/>
    <xf numFmtId="165" fontId="2" fillId="0" borderId="0" xfId="0" applyNumberFormat="1" applyFont="1"/>
    <xf numFmtId="165" fontId="2" fillId="0" borderId="0" xfId="1" applyNumberFormat="1" applyFont="1" applyFill="1"/>
    <xf numFmtId="9" fontId="2" fillId="0" borderId="0" xfId="4" applyFont="1" applyFill="1"/>
    <xf numFmtId="0" fontId="4" fillId="0" borderId="0" xfId="0" applyFont="1"/>
    <xf numFmtId="10" fontId="2" fillId="0" borderId="0" xfId="4" applyNumberFormat="1" applyFont="1" applyFill="1"/>
    <xf numFmtId="10" fontId="2" fillId="0" borderId="0" xfId="0" applyNumberFormat="1" applyFont="1"/>
    <xf numFmtId="165" fontId="2" fillId="0" borderId="0" xfId="4" applyNumberFormat="1" applyFont="1" applyFill="1"/>
    <xf numFmtId="4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4" fontId="4" fillId="0" borderId="0" xfId="0" quotePrefix="1" applyNumberFormat="1" applyFont="1" applyAlignment="1">
      <alignment horizontal="center"/>
    </xf>
    <xf numFmtId="14" fontId="4" fillId="0" borderId="0" xfId="2" quotePrefix="1" applyNumberFormat="1" applyFont="1" applyFill="1" applyBorder="1" applyAlignment="1">
      <alignment horizontal="center"/>
    </xf>
    <xf numFmtId="44" fontId="4" fillId="0" borderId="0" xfId="2" quotePrefix="1" applyFont="1" applyFill="1" applyBorder="1" applyAlignment="1">
      <alignment horizontal="center"/>
    </xf>
    <xf numFmtId="14" fontId="4" fillId="0" borderId="0" xfId="2" applyNumberFormat="1" applyFont="1" applyFill="1" applyBorder="1" applyAlignment="1">
      <alignment horizontal="center" wrapText="1"/>
    </xf>
    <xf numFmtId="44" fontId="2" fillId="4" borderId="0" xfId="2" applyFont="1" applyFill="1"/>
    <xf numFmtId="14" fontId="4" fillId="4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44" fontId="2" fillId="4" borderId="1" xfId="2" applyFont="1" applyFill="1" applyBorder="1"/>
    <xf numFmtId="44" fontId="2" fillId="3" borderId="1" xfId="2" applyFont="1" applyFill="1" applyBorder="1"/>
    <xf numFmtId="14" fontId="4" fillId="5" borderId="1" xfId="0" quotePrefix="1" applyNumberFormat="1" applyFont="1" applyFill="1" applyBorder="1" applyAlignment="1">
      <alignment horizontal="center"/>
    </xf>
    <xf numFmtId="44" fontId="2" fillId="5" borderId="0" xfId="2" applyFont="1" applyFill="1"/>
    <xf numFmtId="44" fontId="2" fillId="5" borderId="1" xfId="2" applyFont="1" applyFill="1" applyBorder="1"/>
    <xf numFmtId="14" fontId="4" fillId="6" borderId="1" xfId="0" quotePrefix="1" applyNumberFormat="1" applyFont="1" applyFill="1" applyBorder="1" applyAlignment="1">
      <alignment horizontal="center"/>
    </xf>
    <xf numFmtId="44" fontId="2" fillId="6" borderId="0" xfId="2" applyFont="1" applyFill="1"/>
    <xf numFmtId="44" fontId="2" fillId="6" borderId="1" xfId="2" applyFont="1" applyFill="1" applyBorder="1"/>
    <xf numFmtId="14" fontId="4" fillId="7" borderId="1" xfId="0" quotePrefix="1" applyNumberFormat="1" applyFont="1" applyFill="1" applyBorder="1" applyAlignment="1">
      <alignment horizontal="center"/>
    </xf>
    <xf numFmtId="44" fontId="2" fillId="7" borderId="0" xfId="2" applyFont="1" applyFill="1"/>
    <xf numFmtId="44" fontId="2" fillId="7" borderId="1" xfId="2" applyFont="1" applyFill="1" applyBorder="1"/>
    <xf numFmtId="44" fontId="2" fillId="8" borderId="0" xfId="2" applyFont="1" applyFill="1"/>
    <xf numFmtId="14" fontId="4" fillId="8" borderId="1" xfId="0" quotePrefix="1" applyNumberFormat="1" applyFont="1" applyFill="1" applyBorder="1" applyAlignment="1">
      <alignment horizontal="center"/>
    </xf>
    <xf numFmtId="44" fontId="2" fillId="8" borderId="1" xfId="2" applyFont="1" applyFill="1" applyBorder="1"/>
    <xf numFmtId="14" fontId="4" fillId="9" borderId="1" xfId="2" quotePrefix="1" applyNumberFormat="1" applyFont="1" applyFill="1" applyBorder="1" applyAlignment="1">
      <alignment horizontal="center"/>
    </xf>
    <xf numFmtId="44" fontId="2" fillId="9" borderId="0" xfId="2" applyFont="1" applyFill="1"/>
    <xf numFmtId="44" fontId="2" fillId="9" borderId="1" xfId="2" applyFont="1" applyFill="1" applyBorder="1"/>
    <xf numFmtId="44" fontId="2" fillId="10" borderId="0" xfId="2" applyFont="1" applyFill="1"/>
    <xf numFmtId="44" fontId="2" fillId="10" borderId="1" xfId="2" applyFont="1" applyFill="1" applyBorder="1"/>
    <xf numFmtId="14" fontId="4" fillId="10" borderId="1" xfId="2" quotePrefix="1" applyNumberFormat="1" applyFont="1" applyFill="1" applyBorder="1" applyAlignment="1">
      <alignment horizontal="center"/>
    </xf>
    <xf numFmtId="44" fontId="4" fillId="11" borderId="1" xfId="2" quotePrefix="1" applyFont="1" applyFill="1" applyBorder="1" applyAlignment="1">
      <alignment horizontal="center"/>
    </xf>
    <xf numFmtId="44" fontId="2" fillId="11" borderId="0" xfId="2" quotePrefix="1" applyFont="1" applyFill="1" applyBorder="1" applyAlignment="1">
      <alignment horizontal="center"/>
    </xf>
    <xf numFmtId="44" fontId="2" fillId="11" borderId="0" xfId="2" applyFont="1" applyFill="1"/>
    <xf numFmtId="44" fontId="2" fillId="11" borderId="1" xfId="2" applyFont="1" applyFill="1" applyBorder="1"/>
    <xf numFmtId="44" fontId="2" fillId="3" borderId="3" xfId="2" applyFont="1" applyFill="1" applyBorder="1"/>
    <xf numFmtId="14" fontId="4" fillId="3" borderId="4" xfId="0" quotePrefix="1" applyNumberFormat="1" applyFont="1" applyFill="1" applyBorder="1" applyAlignment="1">
      <alignment horizontal="center"/>
    </xf>
    <xf numFmtId="44" fontId="2" fillId="4" borderId="3" xfId="2" applyFont="1" applyFill="1" applyBorder="1"/>
    <xf numFmtId="14" fontId="4" fillId="4" borderId="4" xfId="0" quotePrefix="1" applyNumberFormat="1" applyFont="1" applyFill="1" applyBorder="1" applyAlignment="1">
      <alignment horizontal="center"/>
    </xf>
    <xf numFmtId="14" fontId="4" fillId="5" borderId="4" xfId="0" quotePrefix="1" applyNumberFormat="1" applyFont="1" applyFill="1" applyBorder="1" applyAlignment="1">
      <alignment horizontal="center"/>
    </xf>
    <xf numFmtId="44" fontId="2" fillId="5" borderId="3" xfId="2" applyFont="1" applyFill="1" applyBorder="1"/>
    <xf numFmtId="44" fontId="2" fillId="6" borderId="3" xfId="2" applyFont="1" applyFill="1" applyBorder="1"/>
    <xf numFmtId="14" fontId="4" fillId="6" borderId="4" xfId="0" quotePrefix="1" applyNumberFormat="1" applyFont="1" applyFill="1" applyBorder="1" applyAlignment="1">
      <alignment horizontal="center"/>
    </xf>
    <xf numFmtId="14" fontId="4" fillId="7" borderId="4" xfId="0" quotePrefix="1" applyNumberFormat="1" applyFont="1" applyFill="1" applyBorder="1" applyAlignment="1">
      <alignment horizontal="center"/>
    </xf>
    <xf numFmtId="44" fontId="2" fillId="7" borderId="3" xfId="2" applyFont="1" applyFill="1" applyBorder="1"/>
    <xf numFmtId="44" fontId="2" fillId="8" borderId="3" xfId="2" applyFont="1" applyFill="1" applyBorder="1"/>
    <xf numFmtId="14" fontId="4" fillId="8" borderId="4" xfId="0" quotePrefix="1" applyNumberFormat="1" applyFont="1" applyFill="1" applyBorder="1" applyAlignment="1">
      <alignment horizontal="center"/>
    </xf>
    <xf numFmtId="14" fontId="4" fillId="9" borderId="4" xfId="2" quotePrefix="1" applyNumberFormat="1" applyFont="1" applyFill="1" applyBorder="1" applyAlignment="1">
      <alignment horizontal="center"/>
    </xf>
    <xf numFmtId="44" fontId="2" fillId="9" borderId="3" xfId="2" applyFont="1" applyFill="1" applyBorder="1"/>
    <xf numFmtId="44" fontId="2" fillId="10" borderId="3" xfId="2" applyFont="1" applyFill="1" applyBorder="1"/>
    <xf numFmtId="14" fontId="4" fillId="10" borderId="4" xfId="2" quotePrefix="1" applyNumberFormat="1" applyFont="1" applyFill="1" applyBorder="1" applyAlignment="1">
      <alignment horizontal="center"/>
    </xf>
    <xf numFmtId="44" fontId="2" fillId="11" borderId="3" xfId="2" applyFont="1" applyFill="1" applyBorder="1"/>
    <xf numFmtId="14" fontId="4" fillId="12" borderId="1" xfId="2" quotePrefix="1" applyNumberFormat="1" applyFont="1" applyFill="1" applyBorder="1" applyAlignment="1">
      <alignment horizontal="center"/>
    </xf>
    <xf numFmtId="44" fontId="2" fillId="12" borderId="0" xfId="2" quotePrefix="1" applyFont="1" applyFill="1" applyBorder="1" applyAlignment="1">
      <alignment horizontal="center"/>
    </xf>
    <xf numFmtId="44" fontId="2" fillId="12" borderId="0" xfId="2" applyFont="1" applyFill="1"/>
    <xf numFmtId="44" fontId="2" fillId="12" borderId="3" xfId="2" applyFont="1" applyFill="1" applyBorder="1"/>
    <xf numFmtId="44" fontId="2" fillId="12" borderId="1" xfId="2" applyFont="1" applyFill="1" applyBorder="1"/>
    <xf numFmtId="44" fontId="2" fillId="0" borderId="3" xfId="2" applyFont="1" applyFill="1" applyBorder="1"/>
    <xf numFmtId="167" fontId="2" fillId="0" borderId="0" xfId="1" applyNumberFormat="1" applyFont="1" applyFill="1"/>
    <xf numFmtId="166" fontId="2" fillId="0" borderId="0" xfId="4" applyNumberFormat="1" applyFont="1" applyFill="1"/>
    <xf numFmtId="168" fontId="2" fillId="0" borderId="0" xfId="4" applyNumberFormat="1" applyFont="1" applyFill="1"/>
    <xf numFmtId="44" fontId="2" fillId="11" borderId="4" xfId="2" quotePrefix="1" applyFont="1" applyFill="1" applyBorder="1" applyAlignment="1">
      <alignment horizontal="center"/>
    </xf>
    <xf numFmtId="44" fontId="2" fillId="13" borderId="0" xfId="2" applyFont="1" applyFill="1"/>
    <xf numFmtId="10" fontId="2" fillId="0" borderId="0" xfId="2" applyNumberFormat="1" applyFont="1" applyFill="1"/>
    <xf numFmtId="14" fontId="4" fillId="13" borderId="0" xfId="2" quotePrefix="1" applyNumberFormat="1" applyFont="1" applyFill="1" applyBorder="1" applyAlignment="1">
      <alignment horizontal="center"/>
    </xf>
    <xf numFmtId="44" fontId="2" fillId="13" borderId="0" xfId="2" applyFont="1" applyFill="1" applyBorder="1"/>
    <xf numFmtId="44" fontId="2" fillId="13" borderId="3" xfId="2" applyFont="1" applyFill="1" applyBorder="1"/>
    <xf numFmtId="44" fontId="2" fillId="13" borderId="1" xfId="2" applyFont="1" applyFill="1" applyBorder="1"/>
    <xf numFmtId="14" fontId="4" fillId="13" borderId="1" xfId="2" quotePrefix="1" applyNumberFormat="1" applyFont="1" applyFill="1" applyBorder="1" applyAlignment="1">
      <alignment horizontal="center"/>
    </xf>
    <xf numFmtId="44" fontId="2" fillId="4" borderId="0" xfId="2" applyFont="1" applyFill="1" applyBorder="1"/>
    <xf numFmtId="44" fontId="2" fillId="5" borderId="0" xfId="2" applyFont="1" applyFill="1" applyBorder="1"/>
    <xf numFmtId="44" fontId="2" fillId="7" borderId="0" xfId="2" applyFont="1" applyFill="1" applyBorder="1"/>
    <xf numFmtId="44" fontId="2" fillId="7" borderId="0" xfId="2" applyFont="1" applyFill="1" applyAlignment="1">
      <alignment horizontal="center"/>
    </xf>
    <xf numFmtId="44" fontId="2" fillId="6" borderId="0" xfId="2" applyFont="1" applyFill="1" applyBorder="1"/>
    <xf numFmtId="43" fontId="2" fillId="6" borderId="0" xfId="1" applyFont="1" applyFill="1"/>
    <xf numFmtId="43" fontId="2" fillId="6" borderId="0" xfId="1" quotePrefix="1" applyFont="1" applyFill="1" applyBorder="1" applyAlignment="1">
      <alignment horizontal="center"/>
    </xf>
    <xf numFmtId="44" fontId="2" fillId="8" borderId="0" xfId="2" applyFont="1" applyFill="1" applyBorder="1"/>
    <xf numFmtId="44" fontId="2" fillId="9" borderId="0" xfId="2" applyFont="1" applyFill="1" applyBorder="1"/>
    <xf numFmtId="44" fontId="2" fillId="10" borderId="0" xfId="2" applyFont="1" applyFill="1" applyBorder="1"/>
    <xf numFmtId="167" fontId="2" fillId="0" borderId="0" xfId="0" applyNumberFormat="1" applyFont="1"/>
    <xf numFmtId="167" fontId="2" fillId="0" borderId="5" xfId="0" applyNumberFormat="1" applyFont="1" applyBorder="1"/>
    <xf numFmtId="167" fontId="2" fillId="0" borderId="5" xfId="1" applyNumberFormat="1" applyFont="1" applyFill="1" applyBorder="1"/>
    <xf numFmtId="44" fontId="2" fillId="11" borderId="0" xfId="2" applyFont="1" applyFill="1" applyBorder="1"/>
    <xf numFmtId="44" fontId="2" fillId="9" borderId="6" xfId="2" applyFont="1" applyFill="1" applyBorder="1"/>
    <xf numFmtId="0" fontId="2" fillId="13" borderId="0" xfId="3" applyFont="1" applyFill="1" applyAlignment="1">
      <alignment horizontal="left"/>
    </xf>
    <xf numFmtId="0" fontId="2" fillId="13" borderId="0" xfId="0" applyFont="1" applyFill="1" applyAlignment="1">
      <alignment horizontal="left"/>
    </xf>
    <xf numFmtId="44" fontId="2" fillId="12" borderId="0" xfId="2" applyFont="1" applyFill="1" applyBorder="1"/>
    <xf numFmtId="44" fontId="2" fillId="12" borderId="4" xfId="2" quotePrefix="1" applyFont="1" applyFill="1" applyBorder="1" applyAlignment="1">
      <alignment horizontal="center"/>
    </xf>
    <xf numFmtId="44" fontId="2" fillId="12" borderId="6" xfId="2" applyFont="1" applyFill="1" applyBorder="1"/>
    <xf numFmtId="44" fontId="2" fillId="11" borderId="6" xfId="2" applyFont="1" applyFill="1" applyBorder="1"/>
    <xf numFmtId="44" fontId="2" fillId="10" borderId="6" xfId="2" applyFont="1" applyFill="1" applyBorder="1"/>
    <xf numFmtId="44" fontId="2" fillId="0" borderId="6" xfId="2" applyFont="1" applyFill="1" applyBorder="1"/>
    <xf numFmtId="44" fontId="2" fillId="14" borderId="0" xfId="2" applyFont="1" applyFill="1"/>
    <xf numFmtId="44" fontId="2" fillId="14" borderId="0" xfId="2" applyFont="1" applyFill="1" applyBorder="1"/>
    <xf numFmtId="44" fontId="2" fillId="14" borderId="3" xfId="2" applyFont="1" applyFill="1" applyBorder="1"/>
    <xf numFmtId="44" fontId="2" fillId="14" borderId="6" xfId="2" applyFont="1" applyFill="1" applyBorder="1"/>
    <xf numFmtId="44" fontId="2" fillId="15" borderId="3" xfId="2" applyFont="1" applyFill="1" applyBorder="1"/>
    <xf numFmtId="44" fontId="2" fillId="15" borderId="0" xfId="2" applyFont="1" applyFill="1" applyBorder="1"/>
    <xf numFmtId="44" fontId="2" fillId="15" borderId="0" xfId="2" applyFont="1" applyFill="1"/>
    <xf numFmtId="44" fontId="2" fillId="15" borderId="1" xfId="2" applyFont="1" applyFill="1" applyBorder="1"/>
    <xf numFmtId="44" fontId="2" fillId="16" borderId="0" xfId="2" applyFont="1" applyFill="1"/>
    <xf numFmtId="44" fontId="2" fillId="16" borderId="3" xfId="2" applyFont="1" applyFill="1" applyBorder="1"/>
    <xf numFmtId="44" fontId="2" fillId="16" borderId="0" xfId="2" applyFont="1" applyFill="1" applyBorder="1"/>
    <xf numFmtId="44" fontId="2" fillId="16" borderId="6" xfId="2" applyFont="1" applyFill="1" applyBorder="1"/>
    <xf numFmtId="44" fontId="2" fillId="17" borderId="4" xfId="2" applyFont="1" applyFill="1" applyBorder="1"/>
    <xf numFmtId="44" fontId="2" fillId="17" borderId="0" xfId="2" applyFont="1" applyFill="1" applyBorder="1"/>
    <xf numFmtId="44" fontId="2" fillId="17" borderId="3" xfId="2" applyFont="1" applyFill="1" applyBorder="1"/>
    <xf numFmtId="44" fontId="2" fillId="17" borderId="6" xfId="2" applyFont="1" applyFill="1" applyBorder="1"/>
    <xf numFmtId="44" fontId="2" fillId="18" borderId="0" xfId="2" applyFont="1" applyFill="1" applyBorder="1"/>
    <xf numFmtId="44" fontId="2" fillId="18" borderId="4" xfId="2" applyFont="1" applyFill="1" applyBorder="1"/>
    <xf numFmtId="44" fontId="2" fillId="18" borderId="3" xfId="2" applyFont="1" applyFill="1" applyBorder="1"/>
    <xf numFmtId="44" fontId="2" fillId="18" borderId="6" xfId="2" applyFont="1" applyFill="1" applyBorder="1"/>
    <xf numFmtId="44" fontId="2" fillId="19" borderId="7" xfId="2" applyFont="1" applyFill="1" applyBorder="1"/>
    <xf numFmtId="44" fontId="2" fillId="19" borderId="0" xfId="2" applyFont="1" applyFill="1" applyBorder="1"/>
    <xf numFmtId="44" fontId="2" fillId="19" borderId="3" xfId="2" applyFont="1" applyFill="1" applyBorder="1"/>
    <xf numFmtId="44" fontId="2" fillId="19" borderId="6" xfId="2" applyFont="1" applyFill="1" applyBorder="1"/>
    <xf numFmtId="44" fontId="2" fillId="20" borderId="0" xfId="2" applyFont="1" applyFill="1" applyBorder="1"/>
    <xf numFmtId="44" fontId="2" fillId="20" borderId="3" xfId="2" applyFont="1" applyFill="1" applyBorder="1"/>
    <xf numFmtId="44" fontId="2" fillId="20" borderId="4" xfId="2" applyFont="1" applyFill="1" applyBorder="1"/>
    <xf numFmtId="44" fontId="2" fillId="20" borderId="6" xfId="2" applyFont="1" applyFill="1" applyBorder="1"/>
    <xf numFmtId="44" fontId="2" fillId="21" borderId="4" xfId="2" applyFont="1" applyFill="1" applyBorder="1"/>
    <xf numFmtId="44" fontId="2" fillId="21" borderId="0" xfId="2" applyFont="1" applyFill="1" applyBorder="1"/>
    <xf numFmtId="44" fontId="2" fillId="21" borderId="3" xfId="2" applyFont="1" applyFill="1" applyBorder="1"/>
    <xf numFmtId="43" fontId="2" fillId="21" borderId="0" xfId="1" applyFont="1" applyFill="1" applyBorder="1"/>
    <xf numFmtId="44" fontId="2" fillId="21" borderId="6" xfId="2" applyFont="1" applyFill="1" applyBorder="1"/>
    <xf numFmtId="169" fontId="2" fillId="0" borderId="0" xfId="0" applyNumberFormat="1" applyFont="1"/>
    <xf numFmtId="44" fontId="2" fillId="22" borderId="0" xfId="2" applyFont="1" applyFill="1" applyBorder="1"/>
    <xf numFmtId="44" fontId="2" fillId="22" borderId="3" xfId="2" applyFont="1" applyFill="1" applyBorder="1"/>
    <xf numFmtId="44" fontId="2" fillId="22" borderId="6" xfId="2" applyFont="1" applyFill="1" applyBorder="1"/>
    <xf numFmtId="14" fontId="4" fillId="22" borderId="1" xfId="2" quotePrefix="1" applyNumberFormat="1" applyFont="1" applyFill="1" applyBorder="1" applyAlignment="1">
      <alignment horizontal="center"/>
    </xf>
    <xf numFmtId="44" fontId="2" fillId="22" borderId="4" xfId="2" applyFont="1" applyFill="1" applyBorder="1"/>
    <xf numFmtId="44" fontId="2" fillId="23" borderId="6" xfId="2" applyFont="1" applyFill="1" applyBorder="1"/>
    <xf numFmtId="44" fontId="2" fillId="23" borderId="3" xfId="2" applyFont="1" applyFill="1" applyBorder="1"/>
    <xf numFmtId="44" fontId="2" fillId="23" borderId="0" xfId="2" applyFont="1" applyFill="1" applyBorder="1"/>
    <xf numFmtId="44" fontId="2" fillId="23" borderId="4" xfId="2" applyFont="1" applyFill="1" applyBorder="1"/>
    <xf numFmtId="44" fontId="2" fillId="24" borderId="6" xfId="2" applyFont="1" applyFill="1" applyBorder="1"/>
    <xf numFmtId="44" fontId="4" fillId="24" borderId="1" xfId="2" quotePrefix="1" applyFont="1" applyFill="1" applyBorder="1" applyAlignment="1">
      <alignment horizontal="center"/>
    </xf>
    <xf numFmtId="44" fontId="2" fillId="24" borderId="4" xfId="2" applyFont="1" applyFill="1" applyBorder="1"/>
    <xf numFmtId="44" fontId="2" fillId="24" borderId="0" xfId="2" applyFont="1" applyFill="1" applyBorder="1"/>
    <xf numFmtId="44" fontId="2" fillId="24" borderId="3" xfId="2" applyFont="1" applyFill="1" applyBorder="1"/>
    <xf numFmtId="43" fontId="2" fillId="0" borderId="5" xfId="0" applyNumberFormat="1" applyFont="1" applyBorder="1"/>
    <xf numFmtId="44" fontId="2" fillId="25" borderId="0" xfId="2" applyFont="1" applyFill="1" applyBorder="1"/>
    <xf numFmtId="44" fontId="2" fillId="25" borderId="7" xfId="2" applyFont="1" applyFill="1" applyBorder="1"/>
    <xf numFmtId="44" fontId="2" fillId="25" borderId="3" xfId="2" applyFont="1" applyFill="1" applyBorder="1"/>
    <xf numFmtId="44" fontId="2" fillId="25" borderId="6" xfId="2" applyFont="1" applyFill="1" applyBorder="1"/>
    <xf numFmtId="44" fontId="2" fillId="15" borderId="6" xfId="2" applyFont="1" applyFill="1" applyBorder="1"/>
    <xf numFmtId="44" fontId="2" fillId="16" borderId="1" xfId="2" applyFont="1" applyFill="1" applyBorder="1"/>
    <xf numFmtId="44" fontId="2" fillId="26" borderId="0" xfId="2" applyFont="1" applyFill="1" applyBorder="1"/>
    <xf numFmtId="44" fontId="2" fillId="26" borderId="1" xfId="2" applyFont="1" applyFill="1" applyBorder="1"/>
    <xf numFmtId="44" fontId="2" fillId="26" borderId="3" xfId="2" applyFont="1" applyFill="1" applyBorder="1"/>
    <xf numFmtId="44" fontId="2" fillId="27" borderId="0" xfId="2" applyFont="1" applyFill="1" applyBorder="1"/>
    <xf numFmtId="44" fontId="2" fillId="27" borderId="0" xfId="2" applyFont="1" applyFill="1"/>
    <xf numFmtId="14" fontId="4" fillId="27" borderId="1" xfId="0" quotePrefix="1" applyNumberFormat="1" applyFont="1" applyFill="1" applyBorder="1" applyAlignment="1">
      <alignment horizontal="center"/>
    </xf>
    <xf numFmtId="44" fontId="2" fillId="27" borderId="1" xfId="2" applyFont="1" applyFill="1" applyBorder="1"/>
    <xf numFmtId="44" fontId="2" fillId="27" borderId="3" xfId="2" applyFont="1" applyFill="1" applyBorder="1"/>
    <xf numFmtId="44" fontId="2" fillId="19" borderId="0" xfId="2" applyFont="1" applyFill="1"/>
    <xf numFmtId="44" fontId="2" fillId="19" borderId="1" xfId="2" applyFont="1" applyFill="1" applyBorder="1"/>
    <xf numFmtId="44" fontId="2" fillId="20" borderId="1" xfId="2" applyFont="1" applyFill="1" applyBorder="1"/>
    <xf numFmtId="44" fontId="2" fillId="20" borderId="0" xfId="2" applyFont="1" applyFill="1"/>
    <xf numFmtId="44" fontId="2" fillId="28" borderId="0" xfId="2" applyFont="1" applyFill="1" applyBorder="1"/>
    <xf numFmtId="44" fontId="2" fillId="28" borderId="0" xfId="2" applyFont="1" applyFill="1"/>
    <xf numFmtId="44" fontId="2" fillId="28" borderId="3" xfId="2" applyFont="1" applyFill="1" applyBorder="1"/>
    <xf numFmtId="44" fontId="2" fillId="28" borderId="1" xfId="2" applyFont="1" applyFill="1" applyBorder="1"/>
    <xf numFmtId="44" fontId="2" fillId="29" borderId="0" xfId="2" applyFont="1" applyFill="1" applyBorder="1"/>
    <xf numFmtId="44" fontId="2" fillId="29" borderId="3" xfId="2" applyFont="1" applyFill="1" applyBorder="1"/>
    <xf numFmtId="44" fontId="2" fillId="29" borderId="0" xfId="2" applyFont="1" applyFill="1"/>
    <xf numFmtId="44" fontId="2" fillId="29" borderId="1" xfId="2" applyFont="1" applyFill="1" applyBorder="1"/>
    <xf numFmtId="44" fontId="2" fillId="23" borderId="0" xfId="2" applyFont="1" applyFill="1"/>
    <xf numFmtId="44" fontId="2" fillId="23" borderId="1" xfId="2" applyFont="1" applyFill="1" applyBorder="1"/>
    <xf numFmtId="44" fontId="2" fillId="24" borderId="0" xfId="2" applyFont="1" applyFill="1"/>
    <xf numFmtId="44" fontId="2" fillId="24" borderId="1" xfId="2" applyFont="1" applyFill="1" applyBorder="1"/>
    <xf numFmtId="166" fontId="2" fillId="0" borderId="0" xfId="0" applyNumberFormat="1" applyFont="1"/>
    <xf numFmtId="166" fontId="2" fillId="0" borderId="0" xfId="1" applyNumberFormat="1" applyFont="1" applyFill="1"/>
    <xf numFmtId="43" fontId="2" fillId="25" borderId="0" xfId="1" applyFont="1" applyFill="1" applyBorder="1"/>
    <xf numFmtId="44" fontId="2" fillId="25" borderId="1" xfId="2" applyFont="1" applyFill="1" applyBorder="1"/>
    <xf numFmtId="44" fontId="2" fillId="30" borderId="0" xfId="2" applyFont="1" applyFill="1" applyBorder="1"/>
    <xf numFmtId="44" fontId="2" fillId="30" borderId="3" xfId="2" applyFont="1" applyFill="1" applyBorder="1"/>
    <xf numFmtId="44" fontId="2" fillId="30" borderId="7" xfId="2" applyFont="1" applyFill="1" applyBorder="1"/>
    <xf numFmtId="14" fontId="4" fillId="30" borderId="1" xfId="2" quotePrefix="1" applyNumberFormat="1" applyFont="1" applyFill="1" applyBorder="1" applyAlignment="1">
      <alignment horizontal="center"/>
    </xf>
    <xf numFmtId="44" fontId="2" fillId="30" borderId="1" xfId="2" applyFont="1" applyFill="1" applyBorder="1"/>
    <xf numFmtId="44" fontId="2" fillId="14" borderId="7" xfId="2" applyFont="1" applyFill="1" applyBorder="1"/>
    <xf numFmtId="44" fontId="2" fillId="14" borderId="1" xfId="2" applyFont="1" applyFill="1" applyBorder="1"/>
    <xf numFmtId="14" fontId="4" fillId="4" borderId="0" xfId="0" quotePrefix="1" applyNumberFormat="1" applyFont="1" applyFill="1" applyAlignment="1">
      <alignment horizontal="center"/>
    </xf>
    <xf numFmtId="14" fontId="4" fillId="27" borderId="0" xfId="0" quotePrefix="1" applyNumberFormat="1" applyFont="1" applyFill="1" applyAlignment="1">
      <alignment horizontal="center"/>
    </xf>
    <xf numFmtId="14" fontId="4" fillId="7" borderId="0" xfId="0" quotePrefix="1" applyNumberFormat="1" applyFont="1" applyFill="1" applyAlignment="1">
      <alignment horizontal="center"/>
    </xf>
    <xf numFmtId="14" fontId="4" fillId="6" borderId="0" xfId="0" quotePrefix="1" applyNumberFormat="1" applyFont="1" applyFill="1" applyAlignment="1">
      <alignment horizontal="center"/>
    </xf>
    <xf numFmtId="14" fontId="4" fillId="8" borderId="0" xfId="0" quotePrefix="1" applyNumberFormat="1" applyFont="1" applyFill="1" applyAlignment="1">
      <alignment horizontal="center"/>
    </xf>
    <xf numFmtId="14" fontId="4" fillId="22" borderId="0" xfId="2" quotePrefix="1" applyNumberFormat="1" applyFont="1" applyFill="1" applyBorder="1" applyAlignment="1">
      <alignment horizontal="center"/>
    </xf>
    <xf numFmtId="14" fontId="4" fillId="10" borderId="0" xfId="2" quotePrefix="1" applyNumberFormat="1" applyFont="1" applyFill="1" applyBorder="1" applyAlignment="1">
      <alignment horizontal="center"/>
    </xf>
    <xf numFmtId="44" fontId="4" fillId="24" borderId="0" xfId="2" quotePrefix="1" applyFont="1" applyFill="1" applyBorder="1" applyAlignment="1">
      <alignment horizontal="center"/>
    </xf>
    <xf numFmtId="14" fontId="4" fillId="12" borderId="0" xfId="2" quotePrefix="1" applyNumberFormat="1" applyFont="1" applyFill="1" applyBorder="1" applyAlignment="1">
      <alignment horizontal="center"/>
    </xf>
    <xf numFmtId="14" fontId="4" fillId="30" borderId="0" xfId="2" quotePrefix="1" applyNumberFormat="1" applyFont="1" applyFill="1" applyBorder="1" applyAlignment="1">
      <alignment horizontal="center"/>
    </xf>
    <xf numFmtId="44" fontId="2" fillId="16" borderId="2" xfId="2" applyFont="1" applyFill="1" applyBorder="1"/>
    <xf numFmtId="44" fontId="2" fillId="17" borderId="1" xfId="2" applyFont="1" applyFill="1" applyBorder="1"/>
    <xf numFmtId="44" fontId="2" fillId="17" borderId="0" xfId="2" applyFont="1" applyFill="1"/>
    <xf numFmtId="44" fontId="2" fillId="31" borderId="0" xfId="2" applyFont="1" applyFill="1" applyBorder="1"/>
    <xf numFmtId="44" fontId="2" fillId="31" borderId="3" xfId="2" applyFont="1" applyFill="1" applyBorder="1"/>
    <xf numFmtId="43" fontId="2" fillId="31" borderId="0" xfId="1" applyFont="1" applyFill="1" applyBorder="1"/>
    <xf numFmtId="44" fontId="2" fillId="31" borderId="1" xfId="2" applyFont="1" applyFill="1" applyBorder="1"/>
    <xf numFmtId="44" fontId="2" fillId="22" borderId="1" xfId="2" applyFont="1" applyFill="1" applyBorder="1"/>
    <xf numFmtId="44" fontId="2" fillId="25" borderId="0" xfId="2" applyFont="1" applyFill="1"/>
    <xf numFmtId="44" fontId="2" fillId="32" borderId="0" xfId="2" applyFont="1" applyFill="1" applyBorder="1"/>
    <xf numFmtId="44" fontId="2" fillId="32" borderId="3" xfId="2" applyFont="1" applyFill="1" applyBorder="1"/>
    <xf numFmtId="0" fontId="2" fillId="32" borderId="0" xfId="0" applyFont="1" applyFill="1"/>
    <xf numFmtId="44" fontId="2" fillId="32" borderId="1" xfId="2" applyFont="1" applyFill="1" applyBorder="1"/>
    <xf numFmtId="14" fontId="4" fillId="3" borderId="0" xfId="0" quotePrefix="1" applyNumberFormat="1" applyFont="1" applyFill="1" applyAlignment="1">
      <alignment horizontal="center"/>
    </xf>
    <xf numFmtId="44" fontId="2" fillId="20" borderId="8" xfId="2" applyFont="1" applyFill="1" applyBorder="1"/>
    <xf numFmtId="44" fontId="2" fillId="31" borderId="9" xfId="2" applyFont="1" applyFill="1" applyBorder="1"/>
    <xf numFmtId="44" fontId="2" fillId="14" borderId="11" xfId="2" applyFont="1" applyFill="1" applyBorder="1"/>
    <xf numFmtId="44" fontId="2" fillId="31" borderId="10" xfId="2" applyFont="1" applyFill="1" applyBorder="1"/>
    <xf numFmtId="14" fontId="4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left"/>
    </xf>
    <xf numFmtId="43" fontId="2" fillId="19" borderId="0" xfId="1" applyFont="1" applyFill="1" applyBorder="1"/>
    <xf numFmtId="44" fontId="2" fillId="19" borderId="0" xfId="0" quotePrefix="1" applyNumberFormat="1" applyFont="1" applyFill="1" applyAlignment="1">
      <alignment horizontal="right"/>
    </xf>
    <xf numFmtId="44" fontId="2" fillId="27" borderId="12" xfId="2" applyFont="1" applyFill="1" applyBorder="1"/>
    <xf numFmtId="44" fontId="2" fillId="28" borderId="13" xfId="2" applyFont="1" applyFill="1" applyBorder="1"/>
    <xf numFmtId="44" fontId="2" fillId="27" borderId="14" xfId="2" applyFont="1" applyFill="1" applyBorder="1"/>
    <xf numFmtId="44" fontId="2" fillId="28" borderId="0" xfId="0" quotePrefix="1" applyNumberFormat="1" applyFont="1" applyFill="1" applyAlignment="1">
      <alignment horizontal="center"/>
    </xf>
    <xf numFmtId="44" fontId="2" fillId="33" borderId="0" xfId="2" applyFont="1" applyFill="1" applyBorder="1"/>
    <xf numFmtId="43" fontId="2" fillId="25" borderId="1" xfId="0" applyNumberFormat="1" applyFont="1" applyFill="1" applyBorder="1"/>
    <xf numFmtId="43" fontId="2" fillId="25" borderId="0" xfId="0" applyNumberFormat="1" applyFont="1" applyFill="1"/>
    <xf numFmtId="43" fontId="2" fillId="25" borderId="1" xfId="1" applyFont="1" applyFill="1" applyBorder="1"/>
    <xf numFmtId="43" fontId="2" fillId="25" borderId="0" xfId="1" applyFont="1" applyFill="1"/>
    <xf numFmtId="44" fontId="2" fillId="33" borderId="2" xfId="2" applyFont="1" applyFill="1" applyBorder="1"/>
    <xf numFmtId="44" fontId="2" fillId="33" borderId="0" xfId="2" applyFont="1" applyFill="1"/>
    <xf numFmtId="44" fontId="2" fillId="34" borderId="0" xfId="2" applyFont="1" applyFill="1" applyBorder="1"/>
    <xf numFmtId="44" fontId="2" fillId="35" borderId="0" xfId="2" quotePrefix="1" applyFont="1" applyFill="1" applyBorder="1" applyAlignment="1">
      <alignment horizontal="center"/>
    </xf>
    <xf numFmtId="44" fontId="2" fillId="35" borderId="0" xfId="2" applyFont="1" applyFill="1" applyBorder="1"/>
    <xf numFmtId="44" fontId="2" fillId="35" borderId="3" xfId="2" applyFont="1" applyFill="1" applyBorder="1"/>
    <xf numFmtId="44" fontId="2" fillId="14" borderId="15" xfId="2" applyFont="1" applyFill="1" applyBorder="1"/>
    <xf numFmtId="44" fontId="2" fillId="19" borderId="17" xfId="2" applyFont="1" applyFill="1" applyBorder="1"/>
    <xf numFmtId="44" fontId="2" fillId="24" borderId="0" xfId="2" quotePrefix="1" applyFont="1" applyFill="1" applyBorder="1" applyAlignment="1">
      <alignment horizontal="center"/>
    </xf>
    <xf numFmtId="44" fontId="2" fillId="36" borderId="0" xfId="2" applyFont="1" applyFill="1" applyBorder="1"/>
    <xf numFmtId="43" fontId="2" fillId="0" borderId="0" xfId="1" applyFont="1" applyFill="1" applyBorder="1"/>
    <xf numFmtId="44" fontId="2" fillId="35" borderId="1" xfId="2" applyFont="1" applyFill="1" applyBorder="1"/>
    <xf numFmtId="44" fontId="2" fillId="25" borderId="0" xfId="2" quotePrefix="1" applyFont="1" applyFill="1" applyBorder="1" applyAlignment="1">
      <alignment horizontal="center"/>
    </xf>
    <xf numFmtId="44" fontId="2" fillId="37" borderId="0" xfId="2" applyFont="1" applyFill="1" applyBorder="1"/>
    <xf numFmtId="44" fontId="2" fillId="34" borderId="3" xfId="2" applyFont="1" applyFill="1" applyBorder="1"/>
    <xf numFmtId="44" fontId="2" fillId="34" borderId="0" xfId="2" quotePrefix="1" applyFont="1" applyFill="1" applyBorder="1" applyAlignment="1">
      <alignment horizontal="center"/>
    </xf>
    <xf numFmtId="44" fontId="2" fillId="34" borderId="0" xfId="0" applyNumberFormat="1" applyFont="1" applyFill="1"/>
    <xf numFmtId="44" fontId="2" fillId="34" borderId="1" xfId="2" applyFont="1" applyFill="1" applyBorder="1"/>
    <xf numFmtId="44" fontId="2" fillId="14" borderId="0" xfId="2" quotePrefix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44" fontId="2" fillId="0" borderId="0" xfId="0" quotePrefix="1" applyNumberFormat="1" applyFont="1" applyAlignment="1">
      <alignment horizontal="right"/>
    </xf>
    <xf numFmtId="44" fontId="2" fillId="0" borderId="0" xfId="0" quotePrefix="1" applyNumberFormat="1" applyFont="1" applyAlignment="1">
      <alignment horizontal="center"/>
    </xf>
    <xf numFmtId="44" fontId="2" fillId="0" borderId="0" xfId="2" quotePrefix="1" applyFont="1" applyFill="1" applyBorder="1" applyAlignment="1">
      <alignment horizontal="center"/>
    </xf>
    <xf numFmtId="0" fontId="2" fillId="0" borderId="7" xfId="0" applyFont="1" applyBorder="1"/>
    <xf numFmtId="44" fontId="2" fillId="0" borderId="7" xfId="2" applyFont="1" applyFill="1" applyBorder="1"/>
    <xf numFmtId="44" fontId="2" fillId="16" borderId="16" xfId="2" applyFont="1" applyFill="1" applyBorder="1"/>
    <xf numFmtId="0" fontId="14" fillId="0" borderId="0" xfId="0" applyFont="1"/>
    <xf numFmtId="44" fontId="2" fillId="24" borderId="0" xfId="0" applyNumberFormat="1" applyFont="1" applyFill="1"/>
    <xf numFmtId="0" fontId="2" fillId="0" borderId="0" xfId="4" applyNumberFormat="1" applyFont="1" applyFill="1"/>
    <xf numFmtId="4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70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0" fontId="2" fillId="0" borderId="0" xfId="3" applyFont="1" applyAlignment="1">
      <alignment horizontal="center"/>
    </xf>
    <xf numFmtId="0" fontId="2" fillId="0" borderId="7" xfId="0" applyFont="1" applyBorder="1" applyAlignment="1">
      <alignment horizontal="center"/>
    </xf>
    <xf numFmtId="167" fontId="2" fillId="0" borderId="0" xfId="1" applyNumberFormat="1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167" fontId="2" fillId="0" borderId="5" xfId="0" applyNumberFormat="1" applyFont="1" applyBorder="1" applyAlignment="1">
      <alignment horizontal="center"/>
    </xf>
    <xf numFmtId="10" fontId="2" fillId="0" borderId="0" xfId="4" applyNumberFormat="1" applyFont="1" applyFill="1" applyAlignment="1">
      <alignment horizontal="center"/>
    </xf>
    <xf numFmtId="44" fontId="2" fillId="19" borderId="0" xfId="0" applyNumberFormat="1" applyFont="1" applyFill="1"/>
    <xf numFmtId="44" fontId="2" fillId="38" borderId="0" xfId="2" applyFont="1" applyFill="1" applyBorder="1"/>
    <xf numFmtId="44" fontId="2" fillId="38" borderId="3" xfId="2" applyFont="1" applyFill="1" applyBorder="1"/>
    <xf numFmtId="0" fontId="2" fillId="0" borderId="0" xfId="2" applyNumberFormat="1" applyFont="1" applyFill="1" applyBorder="1" applyAlignment="1">
      <alignment horizontal="center"/>
    </xf>
    <xf numFmtId="44" fontId="2" fillId="39" borderId="0" xfId="2" applyFont="1" applyFill="1" applyBorder="1"/>
    <xf numFmtId="44" fontId="2" fillId="39" borderId="3" xfId="2" applyFont="1" applyFill="1" applyBorder="1"/>
    <xf numFmtId="43" fontId="2" fillId="25" borderId="0" xfId="1" applyFont="1" applyFill="1" applyBorder="1" applyAlignment="1">
      <alignment horizontal="center"/>
    </xf>
    <xf numFmtId="44" fontId="2" fillId="34" borderId="0" xfId="2" applyFont="1" applyFill="1" applyBorder="1" applyAlignment="1">
      <alignment horizontal="center"/>
    </xf>
    <xf numFmtId="44" fontId="2" fillId="16" borderId="18" xfId="2" applyFont="1" applyFill="1" applyBorder="1"/>
    <xf numFmtId="44" fontId="2" fillId="17" borderId="18" xfId="2" applyFont="1" applyFill="1" applyBorder="1"/>
    <xf numFmtId="44" fontId="2" fillId="27" borderId="18" xfId="2" applyFont="1" applyFill="1" applyBorder="1"/>
    <xf numFmtId="44" fontId="2" fillId="19" borderId="18" xfId="2" applyFont="1" applyFill="1" applyBorder="1"/>
    <xf numFmtId="44" fontId="2" fillId="20" borderId="18" xfId="2" applyFont="1" applyFill="1" applyBorder="1"/>
    <xf numFmtId="44" fontId="2" fillId="28" borderId="18" xfId="2" applyFont="1" applyFill="1" applyBorder="1"/>
    <xf numFmtId="44" fontId="2" fillId="38" borderId="18" xfId="2" applyFont="1" applyFill="1" applyBorder="1"/>
    <xf numFmtId="44" fontId="2" fillId="23" borderId="18" xfId="2" applyFont="1" applyFill="1" applyBorder="1"/>
    <xf numFmtId="44" fontId="2" fillId="25" borderId="18" xfId="2" applyFont="1" applyFill="1" applyBorder="1"/>
    <xf numFmtId="14" fontId="4" fillId="14" borderId="0" xfId="2" quotePrefix="1" applyNumberFormat="1" applyFont="1" applyFill="1" applyBorder="1" applyAlignment="1">
      <alignment horizontal="center"/>
    </xf>
    <xf numFmtId="43" fontId="4" fillId="14" borderId="0" xfId="1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14" fontId="4" fillId="17" borderId="0" xfId="0" quotePrefix="1" applyNumberFormat="1" applyFont="1" applyFill="1" applyAlignment="1">
      <alignment horizontal="center"/>
    </xf>
    <xf numFmtId="44" fontId="15" fillId="39" borderId="0" xfId="2" applyFont="1" applyFill="1" applyBorder="1"/>
    <xf numFmtId="44" fontId="2" fillId="39" borderId="18" xfId="2" applyFont="1" applyFill="1" applyBorder="1"/>
    <xf numFmtId="43" fontId="4" fillId="0" borderId="3" xfId="1" applyFont="1" applyFill="1" applyBorder="1" applyAlignment="1">
      <alignment horizontal="center"/>
    </xf>
    <xf numFmtId="43" fontId="2" fillId="25" borderId="3" xfId="1" applyFont="1" applyFill="1" applyBorder="1" applyAlignment="1">
      <alignment horizontal="center"/>
    </xf>
    <xf numFmtId="44" fontId="2" fillId="35" borderId="18" xfId="2" applyFont="1" applyFill="1" applyBorder="1"/>
    <xf numFmtId="44" fontId="2" fillId="0" borderId="19" xfId="2" applyFont="1" applyFill="1" applyBorder="1"/>
    <xf numFmtId="44" fontId="2" fillId="0" borderId="20" xfId="2" applyFont="1" applyFill="1" applyBorder="1"/>
    <xf numFmtId="44" fontId="2" fillId="15" borderId="21" xfId="2" applyFont="1" applyFill="1" applyBorder="1"/>
    <xf numFmtId="44" fontId="2" fillId="38" borderId="1" xfId="2" applyFont="1" applyFill="1" applyBorder="1"/>
    <xf numFmtId="167" fontId="2" fillId="0" borderId="0" xfId="1" applyNumberFormat="1" applyFont="1" applyFill="1" applyBorder="1"/>
    <xf numFmtId="10" fontId="2" fillId="0" borderId="0" xfId="4" applyNumberFormat="1" applyFont="1" applyFill="1" applyBorder="1"/>
    <xf numFmtId="0" fontId="2" fillId="0" borderId="0" xfId="4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14" fontId="4" fillId="17" borderId="1" xfId="0" quotePrefix="1" applyNumberFormat="1" applyFont="1" applyFill="1" applyBorder="1" applyAlignment="1">
      <alignment horizontal="center"/>
    </xf>
    <xf numFmtId="14" fontId="4" fillId="14" borderId="1" xfId="2" quotePrefix="1" applyNumberFormat="1" applyFont="1" applyFill="1" applyBorder="1" applyAlignment="1">
      <alignment horizontal="center"/>
    </xf>
    <xf numFmtId="14" fontId="4" fillId="0" borderId="22" xfId="2" applyNumberFormat="1" applyFont="1" applyFill="1" applyBorder="1" applyAlignment="1">
      <alignment horizontal="center" wrapText="1"/>
    </xf>
    <xf numFmtId="44" fontId="2" fillId="0" borderId="2" xfId="0" applyNumberFormat="1" applyFont="1" applyBorder="1"/>
    <xf numFmtId="44" fontId="2" fillId="0" borderId="23" xfId="2" applyFont="1" applyFill="1" applyBorder="1"/>
    <xf numFmtId="43" fontId="2" fillId="0" borderId="2" xfId="0" applyNumberFormat="1" applyFont="1" applyBorder="1"/>
    <xf numFmtId="0" fontId="2" fillId="0" borderId="2" xfId="0" applyFont="1" applyBorder="1"/>
    <xf numFmtId="167" fontId="2" fillId="0" borderId="2" xfId="1" applyNumberFormat="1" applyFont="1" applyFill="1" applyBorder="1"/>
    <xf numFmtId="0" fontId="2" fillId="0" borderId="2" xfId="4" applyNumberFormat="1" applyFont="1" applyFill="1" applyBorder="1"/>
    <xf numFmtId="44" fontId="2" fillId="40" borderId="2" xfId="0" applyNumberFormat="1" applyFont="1" applyFill="1" applyBorder="1"/>
    <xf numFmtId="44" fontId="2" fillId="40" borderId="2" xfId="2" applyFont="1" applyFill="1" applyBorder="1"/>
    <xf numFmtId="44" fontId="2" fillId="41" borderId="2" xfId="0" applyNumberFormat="1" applyFont="1" applyFill="1" applyBorder="1"/>
    <xf numFmtId="44" fontId="2" fillId="41" borderId="2" xfId="2" applyFont="1" applyFill="1" applyBorder="1"/>
    <xf numFmtId="44" fontId="2" fillId="42" borderId="2" xfId="0" applyNumberFormat="1" applyFont="1" applyFill="1" applyBorder="1"/>
    <xf numFmtId="44" fontId="2" fillId="43" borderId="2" xfId="0" applyNumberFormat="1" applyFont="1" applyFill="1" applyBorder="1"/>
    <xf numFmtId="44" fontId="2" fillId="43" borderId="2" xfId="2" applyFont="1" applyFill="1" applyBorder="1"/>
    <xf numFmtId="44" fontId="2" fillId="44" borderId="2" xfId="2" applyFont="1" applyFill="1" applyBorder="1"/>
    <xf numFmtId="44" fontId="2" fillId="44" borderId="2" xfId="0" applyNumberFormat="1" applyFont="1" applyFill="1" applyBorder="1"/>
    <xf numFmtId="0" fontId="2" fillId="14" borderId="0" xfId="0" applyFont="1" applyFill="1"/>
    <xf numFmtId="14" fontId="16" fillId="0" borderId="1" xfId="0" applyNumberFormat="1" applyFont="1" applyBorder="1" applyAlignment="1">
      <alignment horizontal="center"/>
    </xf>
    <xf numFmtId="14" fontId="16" fillId="0" borderId="1" xfId="0" applyNumberFormat="1" applyFont="1" applyBorder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left"/>
    </xf>
    <xf numFmtId="0" fontId="17" fillId="0" borderId="0" xfId="3" applyFont="1" applyAlignment="1">
      <alignment horizontal="left"/>
    </xf>
    <xf numFmtId="0" fontId="17" fillId="0" borderId="0" xfId="3" applyFont="1"/>
    <xf numFmtId="0" fontId="17" fillId="0" borderId="1" xfId="0" applyFont="1" applyBorder="1"/>
    <xf numFmtId="0" fontId="17" fillId="0" borderId="1" xfId="3" applyFont="1" applyBorder="1" applyAlignment="1">
      <alignment horizontal="left"/>
    </xf>
    <xf numFmtId="0" fontId="17" fillId="0" borderId="1" xfId="3" applyFont="1" applyBorder="1"/>
    <xf numFmtId="49" fontId="0" fillId="0" borderId="0" xfId="0" applyNumberFormat="1"/>
    <xf numFmtId="164" fontId="16" fillId="34" borderId="0" xfId="0" applyNumberFormat="1" applyFont="1" applyFill="1" applyAlignment="1">
      <alignment horizontal="center"/>
    </xf>
    <xf numFmtId="164" fontId="16" fillId="39" borderId="0" xfId="0" applyNumberFormat="1" applyFont="1" applyFill="1" applyAlignment="1">
      <alignment horizontal="center"/>
    </xf>
    <xf numFmtId="164" fontId="0" fillId="0" borderId="0" xfId="0" applyNumberFormat="1"/>
    <xf numFmtId="164" fontId="0" fillId="23" borderId="0" xfId="0" applyNumberFormat="1" applyFill="1"/>
    <xf numFmtId="164" fontId="0" fillId="23" borderId="1" xfId="0" applyNumberFormat="1" applyFill="1" applyBorder="1"/>
    <xf numFmtId="43" fontId="2" fillId="0" borderId="1" xfId="1" applyFont="1" applyFill="1" applyBorder="1" applyAlignment="1">
      <alignment horizontal="center"/>
    </xf>
    <xf numFmtId="43" fontId="2" fillId="0" borderId="0" xfId="0" applyNumberFormat="1" applyFont="1" applyAlignment="1">
      <alignment horizontal="center"/>
    </xf>
    <xf numFmtId="172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0" xfId="1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0" fontId="2" fillId="0" borderId="0" xfId="1" applyNumberFormat="1" applyFont="1" applyFill="1"/>
    <xf numFmtId="164" fontId="0" fillId="48" borderId="0" xfId="0" applyNumberFormat="1" applyFill="1"/>
    <xf numFmtId="9" fontId="17" fillId="0" borderId="0" xfId="0" applyNumberFormat="1" applyFont="1"/>
    <xf numFmtId="44" fontId="17" fillId="0" borderId="0" xfId="2" applyFont="1" applyFill="1" applyBorder="1"/>
    <xf numFmtId="43" fontId="17" fillId="0" borderId="0" xfId="1" applyFont="1" applyFill="1" applyBorder="1"/>
    <xf numFmtId="43" fontId="17" fillId="0" borderId="1" xfId="1" applyFont="1" applyFill="1" applyBorder="1"/>
    <xf numFmtId="43" fontId="17" fillId="0" borderId="0" xfId="1" applyFont="1" applyFill="1"/>
    <xf numFmtId="43" fontId="17" fillId="0" borderId="0" xfId="0" applyNumberFormat="1" applyFont="1"/>
    <xf numFmtId="164" fontId="17" fillId="0" borderId="0" xfId="2" applyNumberFormat="1" applyFont="1" applyFill="1" applyBorder="1"/>
    <xf numFmtId="164" fontId="17" fillId="0" borderId="0" xfId="1" applyNumberFormat="1" applyFont="1" applyFill="1" applyBorder="1"/>
    <xf numFmtId="164" fontId="17" fillId="0" borderId="1" xfId="1" applyNumberFormat="1" applyFont="1" applyFill="1" applyBorder="1"/>
    <xf numFmtId="164" fontId="2" fillId="48" borderId="0" xfId="0" applyNumberFormat="1" applyFont="1" applyFill="1"/>
    <xf numFmtId="44" fontId="18" fillId="49" borderId="0" xfId="2" applyFont="1" applyFill="1" applyBorder="1"/>
    <xf numFmtId="44" fontId="18" fillId="49" borderId="1" xfId="2" applyFont="1" applyFill="1" applyBorder="1"/>
    <xf numFmtId="164" fontId="1" fillId="23" borderId="0" xfId="0" applyNumberFormat="1" applyFont="1" applyFill="1"/>
    <xf numFmtId="164" fontId="0" fillId="20" borderId="0" xfId="0" applyNumberFormat="1" applyFill="1"/>
    <xf numFmtId="164" fontId="0" fillId="20" borderId="1" xfId="0" applyNumberFormat="1" applyFill="1" applyBorder="1"/>
    <xf numFmtId="164" fontId="0" fillId="0" borderId="3" xfId="0" applyNumberFormat="1" applyBorder="1"/>
    <xf numFmtId="0" fontId="17" fillId="14" borderId="0" xfId="0" applyFont="1" applyFill="1" applyAlignment="1">
      <alignment horizontal="left"/>
    </xf>
    <xf numFmtId="164" fontId="16" fillId="23" borderId="1" xfId="0" applyNumberFormat="1" applyFont="1" applyFill="1" applyBorder="1" applyAlignment="1">
      <alignment horizontal="center"/>
    </xf>
    <xf numFmtId="164" fontId="16" fillId="48" borderId="1" xfId="0" applyNumberFormat="1" applyFont="1" applyFill="1" applyBorder="1" applyAlignment="1">
      <alignment horizontal="center"/>
    </xf>
    <xf numFmtId="164" fontId="16" fillId="20" borderId="1" xfId="0" applyNumberFormat="1" applyFont="1" applyFill="1" applyBorder="1" applyAlignment="1">
      <alignment horizontal="center"/>
    </xf>
    <xf numFmtId="164" fontId="16" fillId="46" borderId="1" xfId="0" applyNumberFormat="1" applyFont="1" applyFill="1" applyBorder="1" applyAlignment="1">
      <alignment horizontal="center"/>
    </xf>
    <xf numFmtId="164" fontId="16" fillId="28" borderId="1" xfId="0" applyNumberFormat="1" applyFont="1" applyFill="1" applyBorder="1" applyAlignment="1">
      <alignment horizontal="center"/>
    </xf>
    <xf numFmtId="164" fontId="16" fillId="47" borderId="1" xfId="0" applyNumberFormat="1" applyFont="1" applyFill="1" applyBorder="1" applyAlignment="1">
      <alignment horizontal="center"/>
    </xf>
    <xf numFmtId="164" fontId="16" fillId="17" borderId="1" xfId="0" applyNumberFormat="1" applyFont="1" applyFill="1" applyBorder="1" applyAlignment="1">
      <alignment horizontal="center"/>
    </xf>
    <xf numFmtId="164" fontId="16" fillId="45" borderId="1" xfId="0" applyNumberFormat="1" applyFont="1" applyFill="1" applyBorder="1" applyAlignment="1">
      <alignment horizontal="center"/>
    </xf>
    <xf numFmtId="164" fontId="0" fillId="19" borderId="0" xfId="0" applyNumberFormat="1" applyFill="1"/>
    <xf numFmtId="164" fontId="0" fillId="28" borderId="0" xfId="0" applyNumberFormat="1" applyFill="1"/>
    <xf numFmtId="164" fontId="0" fillId="28" borderId="1" xfId="0" applyNumberFormat="1" applyFill="1" applyBorder="1"/>
    <xf numFmtId="164" fontId="0" fillId="14" borderId="1" xfId="0" applyNumberFormat="1" applyFill="1" applyBorder="1"/>
    <xf numFmtId="164" fontId="0" fillId="14" borderId="0" xfId="0" applyNumberFormat="1" applyFill="1"/>
    <xf numFmtId="164" fontId="1" fillId="14" borderId="0" xfId="0" applyNumberFormat="1" applyFont="1" applyFill="1"/>
    <xf numFmtId="49" fontId="0" fillId="0" borderId="1" xfId="0" applyNumberFormat="1" applyBorder="1"/>
    <xf numFmtId="43" fontId="0" fillId="0" borderId="0" xfId="1" applyFont="1"/>
    <xf numFmtId="43" fontId="0" fillId="0" borderId="0" xfId="1" applyFont="1" applyAlignment="1">
      <alignment wrapText="1"/>
    </xf>
    <xf numFmtId="4" fontId="0" fillId="0" borderId="0" xfId="0" applyNumberFormat="1"/>
    <xf numFmtId="43" fontId="0" fillId="0" borderId="1" xfId="1" applyFont="1" applyBorder="1"/>
    <xf numFmtId="43" fontId="0" fillId="0" borderId="0" xfId="0" applyNumberFormat="1"/>
    <xf numFmtId="164" fontId="0" fillId="17" borderId="0" xfId="0" applyNumberFormat="1" applyFill="1"/>
    <xf numFmtId="44" fontId="2" fillId="45" borderId="0" xfId="2" applyFont="1" applyFill="1" applyBorder="1"/>
    <xf numFmtId="164" fontId="0" fillId="45" borderId="0" xfId="0" applyNumberFormat="1" applyFill="1"/>
    <xf numFmtId="164" fontId="0" fillId="45" borderId="1" xfId="0" applyNumberFormat="1" applyFill="1" applyBorder="1"/>
    <xf numFmtId="44" fontId="2" fillId="0" borderId="4" xfId="2" applyFont="1" applyFill="1" applyBorder="1"/>
    <xf numFmtId="164" fontId="16" fillId="50" borderId="1" xfId="0" applyNumberFormat="1" applyFont="1" applyFill="1" applyBorder="1" applyAlignment="1">
      <alignment horizontal="center"/>
    </xf>
    <xf numFmtId="44" fontId="2" fillId="50" borderId="0" xfId="2" applyFont="1" applyFill="1" applyBorder="1"/>
    <xf numFmtId="164" fontId="0" fillId="50" borderId="0" xfId="0" applyNumberFormat="1" applyFill="1"/>
    <xf numFmtId="164" fontId="0" fillId="50" borderId="1" xfId="0" applyNumberFormat="1" applyFill="1" applyBorder="1"/>
    <xf numFmtId="164" fontId="16" fillId="38" borderId="1" xfId="0" applyNumberFormat="1" applyFont="1" applyFill="1" applyBorder="1" applyAlignment="1">
      <alignment horizontal="center"/>
    </xf>
    <xf numFmtId="164" fontId="0" fillId="38" borderId="0" xfId="0" applyNumberFormat="1" applyFill="1"/>
    <xf numFmtId="164" fontId="0" fillId="38" borderId="1" xfId="0" applyNumberFormat="1" applyFill="1" applyBorder="1"/>
    <xf numFmtId="43" fontId="2" fillId="38" borderId="0" xfId="1" applyFont="1" applyFill="1" applyBorder="1"/>
    <xf numFmtId="164" fontId="0" fillId="34" borderId="0" xfId="0" applyNumberFormat="1" applyFill="1"/>
    <xf numFmtId="164" fontId="0" fillId="34" borderId="1" xfId="0" applyNumberFormat="1" applyFill="1" applyBorder="1"/>
    <xf numFmtId="44" fontId="0" fillId="0" borderId="0" xfId="0" applyNumberFormat="1"/>
    <xf numFmtId="164" fontId="0" fillId="39" borderId="0" xfId="0" applyNumberFormat="1" applyFill="1"/>
    <xf numFmtId="164" fontId="0" fillId="39" borderId="1" xfId="0" applyNumberFormat="1" applyFill="1" applyBorder="1"/>
    <xf numFmtId="164" fontId="0" fillId="0" borderId="25" xfId="0" applyNumberFormat="1" applyBorder="1"/>
    <xf numFmtId="164" fontId="0" fillId="0" borderId="2" xfId="0" applyNumberFormat="1" applyBorder="1"/>
    <xf numFmtId="164" fontId="0" fillId="0" borderId="22" xfId="0" applyNumberFormat="1" applyBorder="1"/>
    <xf numFmtId="43" fontId="0" fillId="0" borderId="24" xfId="1" applyFont="1" applyFill="1" applyBorder="1"/>
    <xf numFmtId="43" fontId="0" fillId="23" borderId="24" xfId="1" applyFont="1" applyFill="1" applyBorder="1"/>
    <xf numFmtId="43" fontId="1" fillId="23" borderId="24" xfId="1" applyFont="1" applyFill="1" applyBorder="1"/>
    <xf numFmtId="43" fontId="0" fillId="23" borderId="26" xfId="1" applyFont="1" applyFill="1" applyBorder="1"/>
    <xf numFmtId="43" fontId="0" fillId="48" borderId="24" xfId="1" applyFont="1" applyFill="1" applyBorder="1"/>
    <xf numFmtId="164" fontId="0" fillId="0" borderId="28" xfId="0" applyNumberFormat="1" applyBorder="1"/>
    <xf numFmtId="164" fontId="0" fillId="48" borderId="25" xfId="0" applyNumberFormat="1" applyFill="1" applyBorder="1"/>
    <xf numFmtId="164" fontId="0" fillId="48" borderId="27" xfId="0" applyNumberFormat="1" applyFill="1" applyBorder="1"/>
    <xf numFmtId="43" fontId="0" fillId="0" borderId="29" xfId="1" applyFont="1" applyFill="1" applyBorder="1"/>
    <xf numFmtId="164" fontId="0" fillId="20" borderId="25" xfId="0" applyNumberFormat="1" applyFill="1" applyBorder="1"/>
    <xf numFmtId="164" fontId="0" fillId="20" borderId="27" xfId="0" applyNumberFormat="1" applyFill="1" applyBorder="1"/>
    <xf numFmtId="164" fontId="0" fillId="19" borderId="25" xfId="0" applyNumberFormat="1" applyFill="1" applyBorder="1"/>
    <xf numFmtId="164" fontId="0" fillId="19" borderId="27" xfId="0" applyNumberFormat="1" applyFill="1" applyBorder="1"/>
    <xf numFmtId="164" fontId="0" fillId="28" borderId="25" xfId="0" applyNumberFormat="1" applyFill="1" applyBorder="1"/>
    <xf numFmtId="164" fontId="1" fillId="28" borderId="25" xfId="0" applyNumberFormat="1" applyFont="1" applyFill="1" applyBorder="1"/>
    <xf numFmtId="164" fontId="0" fillId="28" borderId="27" xfId="0" applyNumberFormat="1" applyFill="1" applyBorder="1"/>
    <xf numFmtId="164" fontId="1" fillId="0" borderId="0" xfId="0" applyNumberFormat="1" applyFont="1"/>
    <xf numFmtId="164" fontId="0" fillId="14" borderId="25" xfId="0" applyNumberFormat="1" applyFill="1" applyBorder="1"/>
    <xf numFmtId="164" fontId="0" fillId="14" borderId="27" xfId="0" applyNumberFormat="1" applyFill="1" applyBorder="1"/>
    <xf numFmtId="43" fontId="0" fillId="17" borderId="24" xfId="1" applyFont="1" applyFill="1" applyBorder="1"/>
    <xf numFmtId="164" fontId="0" fillId="17" borderId="25" xfId="0" applyNumberFormat="1" applyFill="1" applyBorder="1"/>
    <xf numFmtId="164" fontId="0" fillId="17" borderId="27" xfId="0" applyNumberFormat="1" applyFill="1" applyBorder="1"/>
    <xf numFmtId="164" fontId="0" fillId="45" borderId="25" xfId="0" applyNumberFormat="1" applyFill="1" applyBorder="1"/>
    <xf numFmtId="164" fontId="0" fillId="45" borderId="27" xfId="0" applyNumberFormat="1" applyFill="1" applyBorder="1"/>
    <xf numFmtId="49" fontId="1" fillId="0" borderId="1" xfId="0" applyNumberFormat="1" applyFont="1" applyBorder="1"/>
    <xf numFmtId="17" fontId="16" fillId="23" borderId="1" xfId="1" quotePrefix="1" applyNumberFormat="1" applyFont="1" applyFill="1" applyBorder="1" applyAlignment="1">
      <alignment horizontal="center"/>
    </xf>
    <xf numFmtId="0" fontId="16" fillId="48" borderId="1" xfId="0" quotePrefix="1" applyFont="1" applyFill="1" applyBorder="1" applyAlignment="1">
      <alignment horizontal="center"/>
    </xf>
    <xf numFmtId="0" fontId="16" fillId="20" borderId="1" xfId="0" quotePrefix="1" applyFont="1" applyFill="1" applyBorder="1" applyAlignment="1">
      <alignment horizontal="center"/>
    </xf>
    <xf numFmtId="0" fontId="16" fillId="46" borderId="1" xfId="0" quotePrefix="1" applyFont="1" applyFill="1" applyBorder="1" applyAlignment="1">
      <alignment horizontal="center"/>
    </xf>
    <xf numFmtId="0" fontId="16" fillId="28" borderId="1" xfId="0" quotePrefix="1" applyFont="1" applyFill="1" applyBorder="1" applyAlignment="1">
      <alignment horizontal="center"/>
    </xf>
    <xf numFmtId="0" fontId="16" fillId="47" borderId="1" xfId="0" quotePrefix="1" applyFont="1" applyFill="1" applyBorder="1" applyAlignment="1">
      <alignment horizontal="center"/>
    </xf>
    <xf numFmtId="164" fontId="16" fillId="17" borderId="1" xfId="0" quotePrefix="1" applyNumberFormat="1" applyFont="1" applyFill="1" applyBorder="1" applyAlignment="1">
      <alignment horizontal="center"/>
    </xf>
    <xf numFmtId="164" fontId="16" fillId="45" borderId="1" xfId="0" quotePrefix="1" applyNumberFormat="1" applyFont="1" applyFill="1" applyBorder="1" applyAlignment="1">
      <alignment horizontal="center"/>
    </xf>
    <xf numFmtId="164" fontId="16" fillId="50" borderId="1" xfId="0" quotePrefix="1" applyNumberFormat="1" applyFont="1" applyFill="1" applyBorder="1" applyAlignment="1">
      <alignment horizontal="center"/>
    </xf>
    <xf numFmtId="164" fontId="16" fillId="38" borderId="1" xfId="0" quotePrefix="1" applyNumberFormat="1" applyFont="1" applyFill="1" applyBorder="1" applyAlignment="1">
      <alignment horizontal="center"/>
    </xf>
    <xf numFmtId="164" fontId="16" fillId="34" borderId="0" xfId="0" quotePrefix="1" applyNumberFormat="1" applyFont="1" applyFill="1" applyAlignment="1">
      <alignment horizontal="center"/>
    </xf>
    <xf numFmtId="164" fontId="16" fillId="39" borderId="0" xfId="0" quotePrefix="1" applyNumberFormat="1" applyFont="1" applyFill="1" applyAlignment="1">
      <alignment horizontal="center"/>
    </xf>
    <xf numFmtId="164" fontId="0" fillId="38" borderId="25" xfId="0" applyNumberFormat="1" applyFill="1" applyBorder="1"/>
    <xf numFmtId="164" fontId="1" fillId="38" borderId="25" xfId="0" applyNumberFormat="1" applyFont="1" applyFill="1" applyBorder="1"/>
    <xf numFmtId="164" fontId="0" fillId="38" borderId="27" xfId="0" applyNumberFormat="1" applyFill="1" applyBorder="1"/>
    <xf numFmtId="164" fontId="0" fillId="34" borderId="25" xfId="0" applyNumberFormat="1" applyFill="1" applyBorder="1"/>
    <xf numFmtId="164" fontId="0" fillId="34" borderId="27" xfId="0" applyNumberFormat="1" applyFill="1" applyBorder="1"/>
    <xf numFmtId="164" fontId="0" fillId="39" borderId="25" xfId="0" applyNumberFormat="1" applyFill="1" applyBorder="1"/>
    <xf numFmtId="10" fontId="0" fillId="0" borderId="0" xfId="4" applyNumberFormat="1" applyFont="1"/>
    <xf numFmtId="43" fontId="0" fillId="0" borderId="0" xfId="4" applyNumberFormat="1" applyFont="1"/>
    <xf numFmtId="43" fontId="0" fillId="0" borderId="26" xfId="1" applyFont="1" applyFill="1" applyBorder="1"/>
    <xf numFmtId="43" fontId="0" fillId="42" borderId="24" xfId="1" applyFont="1" applyFill="1" applyBorder="1"/>
    <xf numFmtId="164" fontId="19" fillId="0" borderId="2" xfId="0" applyNumberFormat="1" applyFont="1" applyBorder="1"/>
    <xf numFmtId="43" fontId="0" fillId="20" borderId="24" xfId="1" applyFont="1" applyFill="1" applyBorder="1"/>
    <xf numFmtId="43" fontId="0" fillId="42" borderId="26" xfId="1" applyFont="1" applyFill="1" applyBorder="1"/>
    <xf numFmtId="43" fontId="0" fillId="20" borderId="26" xfId="1" applyFont="1" applyFill="1" applyBorder="1"/>
    <xf numFmtId="43" fontId="0" fillId="19" borderId="24" xfId="1" applyFont="1" applyFill="1" applyBorder="1"/>
    <xf numFmtId="164" fontId="0" fillId="19" borderId="2" xfId="0" applyNumberFormat="1" applyFill="1" applyBorder="1"/>
    <xf numFmtId="43" fontId="0" fillId="19" borderId="26" xfId="1" applyFont="1" applyFill="1" applyBorder="1"/>
    <xf numFmtId="43" fontId="0" fillId="28" borderId="24" xfId="1" applyFont="1" applyFill="1" applyBorder="1"/>
    <xf numFmtId="43" fontId="0" fillId="47" borderId="24" xfId="1" applyFont="1" applyFill="1" applyBorder="1"/>
    <xf numFmtId="43" fontId="0" fillId="47" borderId="26" xfId="1" applyFont="1" applyFill="1" applyBorder="1"/>
    <xf numFmtId="43" fontId="0" fillId="28" borderId="26" xfId="1" applyFont="1" applyFill="1" applyBorder="1"/>
    <xf numFmtId="44" fontId="17" fillId="0" borderId="0" xfId="2" applyFont="1" applyFill="1"/>
    <xf numFmtId="44" fontId="17" fillId="0" borderId="0" xfId="2" applyFont="1"/>
    <xf numFmtId="43" fontId="0" fillId="17" borderId="26" xfId="1" applyFont="1" applyFill="1" applyBorder="1"/>
    <xf numFmtId="43" fontId="0" fillId="45" borderId="24" xfId="1" applyFont="1" applyFill="1" applyBorder="1"/>
    <xf numFmtId="43" fontId="0" fillId="0" borderId="28" xfId="1" applyFont="1" applyFill="1" applyBorder="1"/>
    <xf numFmtId="43" fontId="0" fillId="45" borderId="26" xfId="1" applyFont="1" applyFill="1" applyBorder="1"/>
    <xf numFmtId="43" fontId="0" fillId="38" borderId="24" xfId="1" applyFont="1" applyFill="1" applyBorder="1"/>
    <xf numFmtId="43" fontId="0" fillId="50" borderId="24" xfId="1" applyFont="1" applyFill="1" applyBorder="1"/>
    <xf numFmtId="43" fontId="0" fillId="38" borderId="26" xfId="1" applyFont="1" applyFill="1" applyBorder="1"/>
    <xf numFmtId="43" fontId="0" fillId="34" borderId="24" xfId="1" applyFont="1" applyFill="1" applyBorder="1"/>
    <xf numFmtId="43" fontId="0" fillId="34" borderId="26" xfId="1" applyFont="1" applyFill="1" applyBorder="1"/>
    <xf numFmtId="43" fontId="0" fillId="39" borderId="24" xfId="1" applyFont="1" applyFill="1" applyBorder="1"/>
    <xf numFmtId="43" fontId="19" fillId="0" borderId="24" xfId="1" applyFont="1" applyFill="1" applyBorder="1"/>
    <xf numFmtId="43" fontId="0" fillId="0" borderId="0" xfId="1" applyFont="1" applyFill="1"/>
    <xf numFmtId="164" fontId="16" fillId="0" borderId="1" xfId="0" quotePrefix="1" applyNumberFormat="1" applyFont="1" applyBorder="1" applyAlignment="1">
      <alignment horizontal="center"/>
    </xf>
    <xf numFmtId="164" fontId="16" fillId="0" borderId="0" xfId="0" quotePrefix="1" applyNumberFormat="1" applyFont="1" applyAlignment="1">
      <alignment horizontal="center"/>
    </xf>
    <xf numFmtId="43" fontId="0" fillId="0" borderId="0" xfId="1" applyFont="1" applyFill="1" applyAlignment="1">
      <alignment wrapText="1"/>
    </xf>
    <xf numFmtId="17" fontId="16" fillId="51" borderId="1" xfId="1" quotePrefix="1" applyNumberFormat="1" applyFont="1" applyFill="1" applyBorder="1" applyAlignment="1">
      <alignment horizontal="center"/>
    </xf>
    <xf numFmtId="43" fontId="0" fillId="51" borderId="24" xfId="1" applyFont="1" applyFill="1" applyBorder="1"/>
    <xf numFmtId="43" fontId="0" fillId="51" borderId="26" xfId="1" applyFont="1" applyFill="1" applyBorder="1"/>
    <xf numFmtId="0" fontId="16" fillId="52" borderId="1" xfId="0" quotePrefix="1" applyFont="1" applyFill="1" applyBorder="1" applyAlignment="1">
      <alignment horizontal="center"/>
    </xf>
    <xf numFmtId="43" fontId="0" fillId="52" borderId="24" xfId="1" applyFont="1" applyFill="1" applyBorder="1"/>
    <xf numFmtId="43" fontId="0" fillId="52" borderId="26" xfId="1" applyFont="1" applyFill="1" applyBorder="1"/>
    <xf numFmtId="43" fontId="0" fillId="41" borderId="24" xfId="1" applyFont="1" applyFill="1" applyBorder="1"/>
    <xf numFmtId="0" fontId="16" fillId="41" borderId="1" xfId="0" quotePrefix="1" applyFont="1" applyFill="1" applyBorder="1" applyAlignment="1">
      <alignment horizontal="center"/>
    </xf>
    <xf numFmtId="43" fontId="0" fillId="41" borderId="26" xfId="1" applyFont="1" applyFill="1" applyBorder="1"/>
    <xf numFmtId="0" fontId="16" fillId="53" borderId="1" xfId="0" quotePrefix="1" applyFont="1" applyFill="1" applyBorder="1" applyAlignment="1">
      <alignment horizontal="center"/>
    </xf>
    <xf numFmtId="43" fontId="0" fillId="53" borderId="24" xfId="1" applyFont="1" applyFill="1" applyBorder="1"/>
    <xf numFmtId="43" fontId="0" fillId="43" borderId="24" xfId="1" applyFont="1" applyFill="1" applyBorder="1"/>
    <xf numFmtId="0" fontId="16" fillId="43" borderId="1" xfId="0" quotePrefix="1" applyFont="1" applyFill="1" applyBorder="1" applyAlignment="1">
      <alignment horizontal="center"/>
    </xf>
    <xf numFmtId="43" fontId="0" fillId="53" borderId="26" xfId="1" applyFont="1" applyFill="1" applyBorder="1"/>
    <xf numFmtId="0" fontId="16" fillId="24" borderId="1" xfId="0" quotePrefix="1" applyFont="1" applyFill="1" applyBorder="1" applyAlignment="1">
      <alignment horizontal="center"/>
    </xf>
    <xf numFmtId="43" fontId="0" fillId="24" borderId="24" xfId="1" applyFont="1" applyFill="1" applyBorder="1"/>
    <xf numFmtId="43" fontId="0" fillId="24" borderId="26" xfId="1" applyFont="1" applyFill="1" applyBorder="1"/>
    <xf numFmtId="44" fontId="17" fillId="0" borderId="0" xfId="2" applyFont="1" applyFill="1" applyAlignment="1">
      <alignment horizontal="left"/>
    </xf>
    <xf numFmtId="164" fontId="16" fillId="54" borderId="1" xfId="0" quotePrefix="1" applyNumberFormat="1" applyFont="1" applyFill="1" applyBorder="1" applyAlignment="1">
      <alignment horizontal="center"/>
    </xf>
    <xf numFmtId="43" fontId="0" fillId="54" borderId="24" xfId="1" applyFont="1" applyFill="1" applyBorder="1"/>
    <xf numFmtId="164" fontId="17" fillId="0" borderId="0" xfId="0" applyNumberFormat="1" applyFont="1"/>
    <xf numFmtId="49" fontId="1" fillId="0" borderId="0" xfId="0" applyNumberFormat="1" applyFont="1"/>
    <xf numFmtId="164" fontId="0" fillId="0" borderId="0" xfId="1" applyNumberFormat="1" applyFont="1" applyFill="1"/>
    <xf numFmtId="164" fontId="0" fillId="0" borderId="0" xfId="1" applyNumberFormat="1" applyFont="1"/>
    <xf numFmtId="173" fontId="0" fillId="0" borderId="0" xfId="0" applyNumberFormat="1"/>
    <xf numFmtId="164" fontId="16" fillId="46" borderId="1" xfId="0" quotePrefix="1" applyNumberFormat="1" applyFont="1" applyFill="1" applyBorder="1" applyAlignment="1">
      <alignment horizontal="center"/>
    </xf>
    <xf numFmtId="43" fontId="0" fillId="46" borderId="24" xfId="1" applyFont="1" applyFill="1" applyBorder="1"/>
    <xf numFmtId="43" fontId="0" fillId="46" borderId="26" xfId="1" applyFont="1" applyFill="1" applyBorder="1"/>
    <xf numFmtId="43" fontId="0" fillId="55" borderId="24" xfId="1" applyFont="1" applyFill="1" applyBorder="1"/>
    <xf numFmtId="43" fontId="0" fillId="0" borderId="0" xfId="1" applyFont="1" applyFill="1" applyBorder="1"/>
    <xf numFmtId="43" fontId="0" fillId="0" borderId="22" xfId="1" applyFont="1" applyFill="1" applyBorder="1"/>
    <xf numFmtId="164" fontId="0" fillId="0" borderId="0" xfId="0" quotePrefix="1" applyNumberFormat="1"/>
    <xf numFmtId="0" fontId="4" fillId="0" borderId="0" xfId="0" applyFont="1" applyAlignment="1">
      <alignment horizontal="center"/>
    </xf>
    <xf numFmtId="164" fontId="16" fillId="55" borderId="1" xfId="0" quotePrefix="1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Sheet1" xfId="3" xr:uid="{00000000-0005-0000-0000-000003000000}"/>
    <cellStyle name="Percent" xfId="4" builtinId="5"/>
  </cellStyles>
  <dxfs count="0"/>
  <tableStyles count="0" defaultTableStyle="TableStyleMedium2" defaultPivotStyle="PivotStyleLight16"/>
  <colors>
    <mruColors>
      <color rgb="FFFF99CC"/>
      <color rgb="FFFFCC99"/>
      <color rgb="FFCC0099"/>
      <color rgb="FFCCFFFF"/>
      <color rgb="FF33CC33"/>
      <color rgb="FFFFFF66"/>
      <color rgb="FFCC99FF"/>
      <color rgb="FFFFFF99"/>
      <color rgb="FF99FF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4"/>
  <sheetViews>
    <sheetView workbookViewId="0">
      <selection activeCell="B25" sqref="B25"/>
    </sheetView>
  </sheetViews>
  <sheetFormatPr defaultColWidth="9.08984375" defaultRowHeight="10"/>
  <cols>
    <col min="1" max="1" width="7.54296875" style="4" bestFit="1" customWidth="1"/>
    <col min="2" max="2" width="24.453125" style="1" bestFit="1" customWidth="1"/>
    <col min="3" max="3" width="10.6328125" style="9" bestFit="1" customWidth="1"/>
    <col min="4" max="4" width="10.6328125" style="10" bestFit="1" customWidth="1"/>
    <col min="5" max="7" width="10.6328125" style="1" bestFit="1" customWidth="1"/>
    <col min="8" max="8" width="10.6328125" style="5" bestFit="1" customWidth="1"/>
    <col min="9" max="14" width="10.6328125" style="1" bestFit="1" customWidth="1"/>
    <col min="15" max="15" width="12" style="1" bestFit="1" customWidth="1"/>
    <col min="16" max="16" width="12" style="1" hidden="1" customWidth="1"/>
    <col min="17" max="17" width="10.6328125" style="1" bestFit="1" customWidth="1"/>
    <col min="18" max="16384" width="9.08984375" style="1"/>
  </cols>
  <sheetData>
    <row r="1" spans="1:17" s="17" customFormat="1" ht="21">
      <c r="A1" s="14" t="s">
        <v>82</v>
      </c>
      <c r="B1" s="15" t="s">
        <v>0</v>
      </c>
      <c r="C1" s="16" t="s">
        <v>116</v>
      </c>
      <c r="D1" s="16" t="s">
        <v>115</v>
      </c>
      <c r="E1" s="16" t="s">
        <v>117</v>
      </c>
      <c r="F1" s="16" t="s">
        <v>118</v>
      </c>
      <c r="G1" s="16" t="s">
        <v>124</v>
      </c>
      <c r="H1" s="16" t="s">
        <v>125</v>
      </c>
      <c r="I1" s="16" t="s">
        <v>126</v>
      </c>
      <c r="J1" s="16" t="s">
        <v>127</v>
      </c>
      <c r="K1" s="16" t="s">
        <v>128</v>
      </c>
      <c r="L1" s="16" t="s">
        <v>129</v>
      </c>
      <c r="M1" s="16" t="s">
        <v>130</v>
      </c>
      <c r="N1" s="16" t="s">
        <v>131</v>
      </c>
      <c r="O1" s="14" t="s">
        <v>141</v>
      </c>
      <c r="P1" s="14"/>
      <c r="Q1" s="20" t="s">
        <v>142</v>
      </c>
    </row>
    <row r="2" spans="1:17">
      <c r="A2" s="4">
        <v>70000</v>
      </c>
      <c r="B2" s="1" t="s">
        <v>4</v>
      </c>
      <c r="C2" s="3">
        <v>1188.23</v>
      </c>
      <c r="D2" s="5">
        <v>1161.8499999999999</v>
      </c>
      <c r="E2" s="5">
        <v>1039.76</v>
      </c>
      <c r="F2" s="5">
        <v>1173.67</v>
      </c>
      <c r="G2" s="5">
        <v>1081.99</v>
      </c>
      <c r="H2" s="5">
        <v>904.04</v>
      </c>
      <c r="I2" s="5">
        <v>859.52</v>
      </c>
      <c r="J2" s="5">
        <v>758.04</v>
      </c>
      <c r="K2" s="5">
        <v>809.79</v>
      </c>
      <c r="L2" s="5">
        <v>911.27</v>
      </c>
      <c r="M2" s="5">
        <v>964.37</v>
      </c>
      <c r="N2" s="5">
        <v>893.93</v>
      </c>
      <c r="O2" s="5">
        <f>SUM(C2:N2)</f>
        <v>11746.460000000001</v>
      </c>
      <c r="P2" s="5">
        <f>+COUNT(C2:N2)</f>
        <v>12</v>
      </c>
      <c r="Q2" s="5">
        <f>+O2/P2</f>
        <v>978.87166666666678</v>
      </c>
    </row>
    <row r="3" spans="1:17">
      <c r="A3" s="4">
        <v>70001</v>
      </c>
      <c r="B3" s="1" t="s">
        <v>5</v>
      </c>
      <c r="C3" s="3">
        <v>18424.95</v>
      </c>
      <c r="D3" s="5">
        <v>10332.42</v>
      </c>
      <c r="E3" s="5">
        <v>17227.849999999999</v>
      </c>
      <c r="F3" s="5">
        <v>19406.34</v>
      </c>
      <c r="G3" s="5">
        <v>11309.98</v>
      </c>
      <c r="H3" s="5">
        <v>6399.19</v>
      </c>
      <c r="I3" s="5">
        <v>6664.14</v>
      </c>
      <c r="J3" s="5">
        <v>9611.66</v>
      </c>
      <c r="K3" s="5">
        <v>10379.25</v>
      </c>
      <c r="L3" s="5">
        <v>14878.58</v>
      </c>
      <c r="M3" s="5">
        <v>14220.61</v>
      </c>
      <c r="N3" s="5">
        <v>9879.8700000000008</v>
      </c>
      <c r="O3" s="5">
        <f t="shared" ref="O3:O66" si="0">SUM(C3:N3)</f>
        <v>148734.84</v>
      </c>
      <c r="P3" s="5">
        <f t="shared" ref="P3:P66" si="1">+COUNT(C3:N3)</f>
        <v>12</v>
      </c>
      <c r="Q3" s="5">
        <f t="shared" ref="Q3:Q66" si="2">+O3/P3</f>
        <v>12394.57</v>
      </c>
    </row>
    <row r="4" spans="1:17">
      <c r="A4" s="4">
        <v>70002</v>
      </c>
      <c r="B4" s="1" t="s">
        <v>6</v>
      </c>
      <c r="C4" s="3">
        <v>2735.43</v>
      </c>
      <c r="D4" s="5">
        <v>2360.1999999999998</v>
      </c>
      <c r="E4" s="5">
        <v>2281.54</v>
      </c>
      <c r="F4" s="5">
        <v>2505.16</v>
      </c>
      <c r="G4" s="5">
        <v>2034.36</v>
      </c>
      <c r="H4" s="5">
        <v>1806.06</v>
      </c>
      <c r="I4" s="5">
        <v>1622.25</v>
      </c>
      <c r="J4" s="5">
        <v>1783.81</v>
      </c>
      <c r="K4" s="5">
        <v>1969.48</v>
      </c>
      <c r="L4" s="5">
        <v>2164.25</v>
      </c>
      <c r="M4" s="5">
        <v>1981.41</v>
      </c>
      <c r="N4" s="5">
        <v>2143.39</v>
      </c>
      <c r="O4" s="5">
        <f t="shared" si="0"/>
        <v>25387.339999999997</v>
      </c>
      <c r="P4" s="5">
        <f t="shared" si="1"/>
        <v>12</v>
      </c>
      <c r="Q4" s="5">
        <f t="shared" si="2"/>
        <v>2115.6116666666662</v>
      </c>
    </row>
    <row r="5" spans="1:17">
      <c r="A5" s="4">
        <v>70003</v>
      </c>
      <c r="B5" s="1" t="s">
        <v>7</v>
      </c>
      <c r="C5" s="3">
        <v>1451.67</v>
      </c>
      <c r="D5" s="5">
        <v>1411.09</v>
      </c>
      <c r="E5" s="5">
        <v>1353.52</v>
      </c>
      <c r="F5" s="5">
        <v>1493.3</v>
      </c>
      <c r="G5" s="5">
        <v>1171.32</v>
      </c>
      <c r="H5" s="5">
        <v>1009.02</v>
      </c>
      <c r="I5" s="5">
        <v>1033.47</v>
      </c>
      <c r="J5" s="5">
        <v>979.6</v>
      </c>
      <c r="K5" s="5">
        <v>1213.28</v>
      </c>
      <c r="L5" s="5">
        <v>1217.83</v>
      </c>
      <c r="M5" s="5">
        <v>1241.02</v>
      </c>
      <c r="N5" s="5">
        <v>1293.52</v>
      </c>
      <c r="O5" s="5">
        <f t="shared" si="0"/>
        <v>14868.640000000001</v>
      </c>
      <c r="P5" s="5">
        <f t="shared" si="1"/>
        <v>12</v>
      </c>
      <c r="Q5" s="5">
        <f t="shared" si="2"/>
        <v>1239.0533333333335</v>
      </c>
    </row>
    <row r="6" spans="1:17">
      <c r="A6" s="4">
        <v>70004</v>
      </c>
      <c r="B6" s="1" t="s">
        <v>8</v>
      </c>
      <c r="C6" s="3">
        <v>2729.35</v>
      </c>
      <c r="D6" s="5">
        <v>2086.9</v>
      </c>
      <c r="E6" s="5">
        <v>2070.9899999999998</v>
      </c>
      <c r="F6" s="5">
        <v>2211</v>
      </c>
      <c r="G6" s="5">
        <v>1451.21</v>
      </c>
      <c r="H6" s="5">
        <v>1348.67</v>
      </c>
      <c r="I6" s="5">
        <v>1764.03</v>
      </c>
      <c r="J6" s="5">
        <v>1513.21</v>
      </c>
      <c r="K6" s="5">
        <v>1863.82</v>
      </c>
      <c r="L6" s="5">
        <v>1539.42</v>
      </c>
      <c r="M6" s="5">
        <v>2509.2800000000002</v>
      </c>
      <c r="N6" s="5">
        <v>1559</v>
      </c>
      <c r="O6" s="5">
        <f t="shared" si="0"/>
        <v>22646.879999999997</v>
      </c>
      <c r="P6" s="5">
        <f t="shared" si="1"/>
        <v>12</v>
      </c>
      <c r="Q6" s="5">
        <f t="shared" si="2"/>
        <v>1887.2399999999998</v>
      </c>
    </row>
    <row r="7" spans="1:17">
      <c r="A7" s="4">
        <v>70006</v>
      </c>
      <c r="B7" s="1" t="s">
        <v>9</v>
      </c>
      <c r="C7" s="3">
        <v>2946.52</v>
      </c>
      <c r="D7" s="5">
        <v>2136.1799999999998</v>
      </c>
      <c r="E7" s="5">
        <v>2310.94</v>
      </c>
      <c r="F7" s="5">
        <v>3068.84</v>
      </c>
      <c r="G7" s="5">
        <v>2391.14</v>
      </c>
      <c r="H7" s="5">
        <v>2166.46</v>
      </c>
      <c r="I7" s="5">
        <v>1347.52</v>
      </c>
      <c r="J7" s="5">
        <v>1233.1300000000001</v>
      </c>
      <c r="K7" s="5">
        <v>2189.8000000000002</v>
      </c>
      <c r="L7" s="5">
        <v>2507.16</v>
      </c>
      <c r="M7" s="5">
        <v>2407.0500000000002</v>
      </c>
      <c r="N7" s="5">
        <v>1723.6</v>
      </c>
      <c r="O7" s="5">
        <f t="shared" si="0"/>
        <v>26428.339999999997</v>
      </c>
      <c r="P7" s="5">
        <f t="shared" si="1"/>
        <v>12</v>
      </c>
      <c r="Q7" s="5">
        <f t="shared" si="2"/>
        <v>2202.3616666666662</v>
      </c>
    </row>
    <row r="8" spans="1:17">
      <c r="A8" s="4">
        <v>70007</v>
      </c>
      <c r="B8" s="1" t="s">
        <v>10</v>
      </c>
      <c r="C8" s="3">
        <v>245</v>
      </c>
      <c r="D8" s="5">
        <v>290</v>
      </c>
      <c r="E8" s="5">
        <v>275</v>
      </c>
      <c r="F8" s="5">
        <v>255</v>
      </c>
      <c r="G8" s="5">
        <v>260</v>
      </c>
      <c r="H8" s="5">
        <v>245</v>
      </c>
      <c r="I8" s="5">
        <v>270</v>
      </c>
      <c r="J8" s="5">
        <v>240</v>
      </c>
      <c r="K8" s="5">
        <v>255</v>
      </c>
      <c r="L8" s="5">
        <v>270</v>
      </c>
      <c r="M8" s="5">
        <v>245</v>
      </c>
      <c r="N8" s="5">
        <v>270</v>
      </c>
      <c r="O8" s="5">
        <f t="shared" si="0"/>
        <v>3120</v>
      </c>
      <c r="P8" s="5">
        <f t="shared" si="1"/>
        <v>12</v>
      </c>
      <c r="Q8" s="5">
        <f t="shared" si="2"/>
        <v>260</v>
      </c>
    </row>
    <row r="9" spans="1:17">
      <c r="A9" s="4">
        <v>70008</v>
      </c>
      <c r="B9" s="1" t="s">
        <v>11</v>
      </c>
      <c r="C9" s="3">
        <v>2285.23</v>
      </c>
      <c r="D9" s="5">
        <v>2179.02</v>
      </c>
      <c r="E9" s="5">
        <v>1856.95</v>
      </c>
      <c r="F9" s="5">
        <v>2323.41</v>
      </c>
      <c r="G9" s="5">
        <v>2204.75</v>
      </c>
      <c r="H9" s="5">
        <v>1945.51</v>
      </c>
      <c r="I9" s="5">
        <v>1745.7</v>
      </c>
      <c r="J9" s="5">
        <v>1908.6</v>
      </c>
      <c r="K9" s="5">
        <v>1746.15</v>
      </c>
      <c r="L9" s="5">
        <v>1821.3</v>
      </c>
      <c r="M9" s="5">
        <v>2308.1</v>
      </c>
      <c r="N9" s="5">
        <v>2312.34</v>
      </c>
      <c r="O9" s="5">
        <f t="shared" si="0"/>
        <v>24637.06</v>
      </c>
      <c r="P9" s="5">
        <f t="shared" si="1"/>
        <v>12</v>
      </c>
      <c r="Q9" s="5">
        <f t="shared" si="2"/>
        <v>2053.0883333333336</v>
      </c>
    </row>
    <row r="10" spans="1:17">
      <c r="A10" s="4" t="s">
        <v>12</v>
      </c>
      <c r="B10" s="1" t="s">
        <v>13</v>
      </c>
      <c r="C10" s="3">
        <v>2665.75</v>
      </c>
      <c r="D10" s="5">
        <v>2238.88</v>
      </c>
      <c r="E10" s="6">
        <v>2487.86</v>
      </c>
      <c r="F10" s="5">
        <v>5303.22</v>
      </c>
      <c r="G10" s="5">
        <v>3320.22</v>
      </c>
      <c r="H10" s="5">
        <v>1675.83</v>
      </c>
      <c r="I10" s="5">
        <v>1154.24</v>
      </c>
      <c r="J10" s="5">
        <v>1804.07</v>
      </c>
      <c r="K10" s="5">
        <v>2527.63</v>
      </c>
      <c r="L10" s="5">
        <v>4335.47</v>
      </c>
      <c r="M10" s="5">
        <v>2935.97</v>
      </c>
      <c r="N10" s="5">
        <v>2437.21</v>
      </c>
      <c r="O10" s="5">
        <f t="shared" si="0"/>
        <v>32886.350000000006</v>
      </c>
      <c r="P10" s="5">
        <f t="shared" si="1"/>
        <v>12</v>
      </c>
      <c r="Q10" s="5">
        <f t="shared" si="2"/>
        <v>2740.5291666666672</v>
      </c>
    </row>
    <row r="11" spans="1:17">
      <c r="A11" s="4">
        <v>70013</v>
      </c>
      <c r="B11" s="2" t="s">
        <v>61</v>
      </c>
      <c r="C11" s="3">
        <v>5998.43</v>
      </c>
      <c r="D11" s="5">
        <v>4894.99</v>
      </c>
      <c r="E11" s="5">
        <v>4488.51</v>
      </c>
      <c r="F11" s="5">
        <v>4908.7</v>
      </c>
      <c r="G11" s="5">
        <v>3613.88</v>
      </c>
      <c r="H11" s="5">
        <v>2800.03</v>
      </c>
      <c r="I11" s="5">
        <v>3033.59</v>
      </c>
      <c r="J11" s="5">
        <v>3173.97</v>
      </c>
      <c r="K11" s="5">
        <v>3723.77</v>
      </c>
      <c r="L11" s="5">
        <v>4497.5600000000004</v>
      </c>
      <c r="M11" s="5">
        <v>4244.63</v>
      </c>
      <c r="N11" s="5">
        <v>4724.6499999999996</v>
      </c>
      <c r="O11" s="5">
        <f t="shared" si="0"/>
        <v>50102.709999999992</v>
      </c>
      <c r="P11" s="5">
        <f t="shared" si="1"/>
        <v>12</v>
      </c>
      <c r="Q11" s="5">
        <f t="shared" si="2"/>
        <v>4175.225833333333</v>
      </c>
    </row>
    <row r="12" spans="1:17">
      <c r="A12" s="4">
        <v>70014</v>
      </c>
      <c r="B12" s="1" t="s">
        <v>14</v>
      </c>
      <c r="C12" s="3">
        <v>10916.98</v>
      </c>
      <c r="D12" s="5">
        <v>8963.89</v>
      </c>
      <c r="E12" s="5">
        <v>8133.56</v>
      </c>
      <c r="F12" s="5">
        <v>11826.79</v>
      </c>
      <c r="G12" s="5">
        <v>7815.54</v>
      </c>
      <c r="H12" s="5">
        <v>4622.22</v>
      </c>
      <c r="I12" s="5">
        <v>4398.97</v>
      </c>
      <c r="J12" s="5">
        <v>5560.35</v>
      </c>
      <c r="K12" s="5">
        <v>8157.58</v>
      </c>
      <c r="L12" s="5">
        <v>10708.04</v>
      </c>
      <c r="M12" s="5">
        <v>10307.02</v>
      </c>
      <c r="N12" s="5">
        <v>9873.31</v>
      </c>
      <c r="O12" s="5">
        <f t="shared" si="0"/>
        <v>101284.25000000001</v>
      </c>
      <c r="P12" s="5">
        <f t="shared" si="1"/>
        <v>12</v>
      </c>
      <c r="Q12" s="5">
        <f t="shared" si="2"/>
        <v>8440.3541666666679</v>
      </c>
    </row>
    <row r="13" spans="1:17">
      <c r="A13" s="4" t="s">
        <v>73</v>
      </c>
      <c r="B13" s="1" t="s">
        <v>63</v>
      </c>
      <c r="C13" s="3">
        <v>7627.97</v>
      </c>
      <c r="D13" s="5">
        <v>6848.35</v>
      </c>
      <c r="E13" s="5">
        <v>8616.7000000000007</v>
      </c>
      <c r="F13" s="5">
        <v>9855.2999999999993</v>
      </c>
      <c r="G13" s="5">
        <v>7192.5</v>
      </c>
      <c r="H13" s="5">
        <v>3042.1</v>
      </c>
      <c r="I13" s="5">
        <v>2515.4299999999998</v>
      </c>
      <c r="J13" s="5">
        <v>4265.51</v>
      </c>
      <c r="K13" s="5">
        <v>5937.7</v>
      </c>
      <c r="L13" s="5">
        <v>8143.55</v>
      </c>
      <c r="M13" s="5">
        <v>6809.83</v>
      </c>
      <c r="N13" s="5">
        <v>7019.66</v>
      </c>
      <c r="O13" s="5">
        <f t="shared" si="0"/>
        <v>77874.600000000006</v>
      </c>
      <c r="P13" s="5">
        <f t="shared" si="1"/>
        <v>12</v>
      </c>
      <c r="Q13" s="5">
        <f t="shared" si="2"/>
        <v>6489.55</v>
      </c>
    </row>
    <row r="14" spans="1:17">
      <c r="A14" s="4" t="s">
        <v>75</v>
      </c>
      <c r="B14" s="1" t="s">
        <v>74</v>
      </c>
      <c r="C14" s="3">
        <v>11746.35</v>
      </c>
      <c r="D14" s="5">
        <v>11293.79</v>
      </c>
      <c r="E14" s="5">
        <v>11688.44</v>
      </c>
      <c r="F14" s="5">
        <v>12632.44</v>
      </c>
      <c r="G14" s="5">
        <v>8853.82</v>
      </c>
      <c r="H14" s="5">
        <v>5371.83</v>
      </c>
      <c r="I14" s="5">
        <v>4873.7299999999996</v>
      </c>
      <c r="J14" s="5">
        <v>5154.8999999999996</v>
      </c>
      <c r="K14" s="5">
        <v>8071.61</v>
      </c>
      <c r="L14" s="5">
        <v>8415.2999999999993</v>
      </c>
      <c r="M14" s="5">
        <v>12518.9</v>
      </c>
      <c r="N14" s="5">
        <v>10118.450000000001</v>
      </c>
      <c r="O14" s="5">
        <f t="shared" si="0"/>
        <v>110739.56</v>
      </c>
      <c r="P14" s="5">
        <f t="shared" si="1"/>
        <v>12</v>
      </c>
      <c r="Q14" s="5">
        <f t="shared" si="2"/>
        <v>9228.2966666666671</v>
      </c>
    </row>
    <row r="15" spans="1:17">
      <c r="A15" s="4">
        <v>70017</v>
      </c>
      <c r="B15" s="1" t="s">
        <v>15</v>
      </c>
      <c r="C15" s="3">
        <v>22331.97</v>
      </c>
      <c r="D15" s="5">
        <v>19833.38</v>
      </c>
      <c r="E15" s="5">
        <v>22920.29</v>
      </c>
      <c r="F15" s="5">
        <v>23908.86</v>
      </c>
      <c r="G15" s="5">
        <v>21526.26</v>
      </c>
      <c r="H15" s="5">
        <v>17607.11</v>
      </c>
      <c r="I15" s="5">
        <v>14361.09</v>
      </c>
      <c r="J15" s="5">
        <v>18487.03</v>
      </c>
      <c r="K15" s="5">
        <v>21562.25</v>
      </c>
      <c r="L15" s="5">
        <v>22926.36</v>
      </c>
      <c r="M15" s="5">
        <v>22363.41</v>
      </c>
      <c r="N15" s="5">
        <v>21783.64</v>
      </c>
      <c r="O15" s="5">
        <f t="shared" si="0"/>
        <v>249611.64999999997</v>
      </c>
      <c r="P15" s="5">
        <f t="shared" si="1"/>
        <v>12</v>
      </c>
      <c r="Q15" s="5">
        <f t="shared" si="2"/>
        <v>20800.970833333329</v>
      </c>
    </row>
    <row r="16" spans="1:17">
      <c r="A16" s="4">
        <v>70018</v>
      </c>
      <c r="B16" s="1" t="s">
        <v>16</v>
      </c>
      <c r="C16" s="3">
        <v>27188.1</v>
      </c>
      <c r="D16" s="5">
        <v>20839.75</v>
      </c>
      <c r="E16" s="5">
        <v>22380.5</v>
      </c>
      <c r="F16" s="5">
        <v>18584.87</v>
      </c>
      <c r="G16" s="5">
        <v>18045.349999999999</v>
      </c>
      <c r="H16" s="5">
        <v>13902.13</v>
      </c>
      <c r="I16" s="5">
        <v>21506.76</v>
      </c>
      <c r="J16" s="5">
        <v>15194.11</v>
      </c>
      <c r="K16" s="5">
        <v>19939.41</v>
      </c>
      <c r="L16" s="5">
        <v>26756.58</v>
      </c>
      <c r="M16" s="5">
        <v>26067.13</v>
      </c>
      <c r="N16" s="5">
        <v>27113.52</v>
      </c>
      <c r="O16" s="5">
        <f t="shared" si="0"/>
        <v>257518.21</v>
      </c>
      <c r="P16" s="5">
        <f t="shared" si="1"/>
        <v>12</v>
      </c>
      <c r="Q16" s="5">
        <f t="shared" si="2"/>
        <v>21459.850833333334</v>
      </c>
    </row>
    <row r="17" spans="1:17">
      <c r="A17" s="4">
        <v>70019</v>
      </c>
      <c r="B17" s="1" t="s">
        <v>17</v>
      </c>
      <c r="C17" s="3">
        <v>10202.73</v>
      </c>
      <c r="D17" s="5">
        <v>8727.76</v>
      </c>
      <c r="E17" s="5">
        <v>7460.12</v>
      </c>
      <c r="F17" s="5">
        <v>9768.24</v>
      </c>
      <c r="G17" s="5">
        <v>6820.2</v>
      </c>
      <c r="H17" s="5">
        <v>5366.9</v>
      </c>
      <c r="I17" s="5">
        <v>5989.78</v>
      </c>
      <c r="J17" s="5">
        <v>7092.33</v>
      </c>
      <c r="K17" s="5">
        <v>8824.14</v>
      </c>
      <c r="L17" s="5">
        <v>9656.44</v>
      </c>
      <c r="M17" s="5">
        <v>8927.26</v>
      </c>
      <c r="N17" s="5">
        <v>9136.64</v>
      </c>
      <c r="O17" s="5">
        <f t="shared" si="0"/>
        <v>97972.54</v>
      </c>
      <c r="P17" s="5">
        <f t="shared" si="1"/>
        <v>12</v>
      </c>
      <c r="Q17" s="5">
        <f t="shared" si="2"/>
        <v>8164.3783333333331</v>
      </c>
    </row>
    <row r="18" spans="1:17">
      <c r="A18" s="4">
        <v>70020</v>
      </c>
      <c r="B18" s="1" t="s">
        <v>18</v>
      </c>
      <c r="C18" s="3">
        <v>9059.2199999999993</v>
      </c>
      <c r="D18" s="5">
        <v>7271.74</v>
      </c>
      <c r="E18" s="5">
        <v>8642.85</v>
      </c>
      <c r="F18" s="5">
        <v>6719.99</v>
      </c>
      <c r="G18" s="5">
        <v>5420.49</v>
      </c>
      <c r="H18" s="5">
        <v>4816.59</v>
      </c>
      <c r="I18" s="5">
        <v>3826.43</v>
      </c>
      <c r="J18" s="5">
        <v>3789.34</v>
      </c>
      <c r="K18" s="5">
        <v>5580.03</v>
      </c>
      <c r="L18" s="5">
        <v>5708.18</v>
      </c>
      <c r="M18" s="5">
        <v>6036.55</v>
      </c>
      <c r="N18" s="5">
        <v>6993.93</v>
      </c>
      <c r="O18" s="5">
        <f t="shared" si="0"/>
        <v>73865.34</v>
      </c>
      <c r="P18" s="5">
        <f t="shared" si="1"/>
        <v>12</v>
      </c>
      <c r="Q18" s="5">
        <f t="shared" si="2"/>
        <v>6155.4449999999997</v>
      </c>
    </row>
    <row r="19" spans="1:17">
      <c r="A19" s="4">
        <v>70021</v>
      </c>
      <c r="B19" s="1" t="s">
        <v>60</v>
      </c>
      <c r="C19" s="3">
        <v>30886.68</v>
      </c>
      <c r="D19" s="5">
        <v>29905.439999999999</v>
      </c>
      <c r="E19" s="5">
        <v>27317.75</v>
      </c>
      <c r="F19" s="5">
        <v>43555.58</v>
      </c>
      <c r="G19" s="5">
        <v>33513.449999999997</v>
      </c>
      <c r="H19" s="5">
        <v>17152.099999999999</v>
      </c>
      <c r="I19" s="5">
        <v>21387.84</v>
      </c>
      <c r="J19" s="5">
        <v>23164.400000000001</v>
      </c>
      <c r="K19" s="5">
        <v>26521.13</v>
      </c>
      <c r="L19" s="5">
        <v>32638.05</v>
      </c>
      <c r="M19" s="5">
        <v>34846.93</v>
      </c>
      <c r="N19" s="5">
        <v>24659.7</v>
      </c>
      <c r="O19" s="5">
        <f t="shared" si="0"/>
        <v>345549.05000000005</v>
      </c>
      <c r="P19" s="5">
        <f t="shared" si="1"/>
        <v>12</v>
      </c>
      <c r="Q19" s="5">
        <f t="shared" si="2"/>
        <v>28795.754166666669</v>
      </c>
    </row>
    <row r="20" spans="1:17">
      <c r="A20" s="4">
        <v>70022</v>
      </c>
      <c r="B20" s="1" t="s">
        <v>19</v>
      </c>
      <c r="C20" s="3">
        <v>774.73</v>
      </c>
      <c r="D20" s="5">
        <v>834.25</v>
      </c>
      <c r="E20" s="5">
        <v>773.18</v>
      </c>
      <c r="F20" s="5">
        <v>1199.8499999999999</v>
      </c>
      <c r="G20" s="5">
        <v>663.93</v>
      </c>
      <c r="H20" s="5">
        <v>610.1</v>
      </c>
      <c r="I20" s="5">
        <v>670.89</v>
      </c>
      <c r="J20" s="5">
        <v>445.61</v>
      </c>
      <c r="K20" s="5">
        <v>743.06</v>
      </c>
      <c r="L20" s="5">
        <v>1254.98</v>
      </c>
      <c r="M20" s="5">
        <v>803.66</v>
      </c>
      <c r="N20" s="5">
        <v>612.83000000000004</v>
      </c>
      <c r="O20" s="5">
        <f t="shared" si="0"/>
        <v>9387.07</v>
      </c>
      <c r="P20" s="5">
        <f t="shared" si="1"/>
        <v>12</v>
      </c>
      <c r="Q20" s="5">
        <f t="shared" si="2"/>
        <v>782.25583333333327</v>
      </c>
    </row>
    <row r="21" spans="1:17">
      <c r="A21" s="4">
        <v>70023</v>
      </c>
      <c r="B21" s="1" t="s">
        <v>20</v>
      </c>
      <c r="C21" s="3">
        <v>4100.92</v>
      </c>
      <c r="D21" s="5">
        <v>3189.1</v>
      </c>
      <c r="E21" s="5">
        <v>3660.2</v>
      </c>
      <c r="F21" s="5">
        <v>4661.25</v>
      </c>
      <c r="G21" s="5">
        <v>3139.5</v>
      </c>
      <c r="H21" s="5">
        <v>2604.5</v>
      </c>
      <c r="I21" s="5">
        <v>2785.15</v>
      </c>
      <c r="J21" s="5">
        <v>3041.3</v>
      </c>
      <c r="K21" s="5">
        <v>3142.75</v>
      </c>
      <c r="L21" s="5">
        <v>2929.5</v>
      </c>
      <c r="M21" s="5">
        <v>2924.05</v>
      </c>
      <c r="N21" s="5">
        <v>3272.45</v>
      </c>
      <c r="O21" s="5">
        <f t="shared" si="0"/>
        <v>39450.67</v>
      </c>
      <c r="P21" s="5">
        <f t="shared" si="1"/>
        <v>12</v>
      </c>
      <c r="Q21" s="5">
        <f t="shared" si="2"/>
        <v>3287.5558333333333</v>
      </c>
    </row>
    <row r="22" spans="1:17">
      <c r="A22" s="4">
        <v>70024</v>
      </c>
      <c r="B22" s="1" t="s">
        <v>1</v>
      </c>
      <c r="C22" s="3">
        <v>103</v>
      </c>
      <c r="D22" s="5">
        <v>79</v>
      </c>
      <c r="E22" s="5">
        <v>96</v>
      </c>
      <c r="F22" s="5">
        <v>109</v>
      </c>
      <c r="G22" s="5">
        <v>48</v>
      </c>
      <c r="I22" s="5"/>
      <c r="J22" s="5"/>
      <c r="K22" s="5"/>
      <c r="L22" s="5"/>
      <c r="M22" s="5"/>
      <c r="N22" s="5"/>
      <c r="O22" s="5">
        <f t="shared" si="0"/>
        <v>435</v>
      </c>
      <c r="P22" s="5">
        <f t="shared" si="1"/>
        <v>5</v>
      </c>
      <c r="Q22" s="5">
        <f t="shared" si="2"/>
        <v>87</v>
      </c>
    </row>
    <row r="23" spans="1:17">
      <c r="A23" s="4" t="s">
        <v>66</v>
      </c>
      <c r="B23" s="1" t="s">
        <v>21</v>
      </c>
      <c r="C23" s="3">
        <v>5162</v>
      </c>
      <c r="D23" s="5">
        <v>4500.3</v>
      </c>
      <c r="E23" s="5">
        <v>4003.9</v>
      </c>
      <c r="F23" s="5">
        <v>4179.43</v>
      </c>
      <c r="G23" s="5">
        <v>3369.05</v>
      </c>
      <c r="H23" s="5">
        <v>2383.83</v>
      </c>
      <c r="I23" s="5">
        <v>2360.87</v>
      </c>
      <c r="J23" s="5">
        <v>2463.0300000000002</v>
      </c>
      <c r="K23" s="5">
        <v>3570.88</v>
      </c>
      <c r="L23" s="5">
        <v>4117.6099999999997</v>
      </c>
      <c r="M23" s="5">
        <v>4440.17</v>
      </c>
      <c r="N23" s="5">
        <v>3912.45</v>
      </c>
      <c r="O23" s="5">
        <f t="shared" si="0"/>
        <v>44463.51999999999</v>
      </c>
      <c r="P23" s="5">
        <f t="shared" si="1"/>
        <v>12</v>
      </c>
      <c r="Q23" s="5">
        <f t="shared" si="2"/>
        <v>3705.2933333333326</v>
      </c>
    </row>
    <row r="24" spans="1:17">
      <c r="A24" s="4">
        <v>70026</v>
      </c>
      <c r="B24" s="1" t="s">
        <v>22</v>
      </c>
      <c r="C24" s="3">
        <v>9780.65</v>
      </c>
      <c r="D24" s="5">
        <v>8053.42</v>
      </c>
      <c r="E24" s="5">
        <v>9135.2999999999993</v>
      </c>
      <c r="F24" s="5">
        <v>7926.73</v>
      </c>
      <c r="G24" s="5">
        <v>6281.69</v>
      </c>
      <c r="H24" s="5">
        <v>2667.64</v>
      </c>
      <c r="I24" s="5">
        <v>2823.63</v>
      </c>
      <c r="J24" s="5">
        <v>2423.0100000000002</v>
      </c>
      <c r="K24" s="5">
        <v>4264.09</v>
      </c>
      <c r="L24" s="5">
        <v>6432.91</v>
      </c>
      <c r="M24" s="5">
        <v>8651.16</v>
      </c>
      <c r="N24" s="5">
        <v>8537.11</v>
      </c>
      <c r="O24" s="5">
        <f t="shared" si="0"/>
        <v>76977.340000000011</v>
      </c>
      <c r="P24" s="5">
        <f t="shared" si="1"/>
        <v>12</v>
      </c>
      <c r="Q24" s="5">
        <f t="shared" si="2"/>
        <v>6414.7783333333346</v>
      </c>
    </row>
    <row r="25" spans="1:17">
      <c r="A25" s="4">
        <v>70027</v>
      </c>
      <c r="B25" s="1" t="s">
        <v>23</v>
      </c>
      <c r="C25" s="3">
        <v>669.47</v>
      </c>
      <c r="D25" s="5">
        <v>644.30999999999995</v>
      </c>
      <c r="E25" s="5">
        <v>736.62</v>
      </c>
      <c r="F25" s="5">
        <v>622.13</v>
      </c>
      <c r="G25" s="5">
        <v>691.61</v>
      </c>
      <c r="H25" s="5">
        <v>406.66</v>
      </c>
      <c r="I25" s="5">
        <v>741.35</v>
      </c>
      <c r="J25" s="5">
        <v>529.17999999999995</v>
      </c>
      <c r="K25" s="5">
        <v>566.92999999999995</v>
      </c>
      <c r="L25" s="5">
        <v>536.03</v>
      </c>
      <c r="M25" s="5">
        <v>540.29999999999995</v>
      </c>
      <c r="N25" s="5">
        <v>690.38</v>
      </c>
      <c r="O25" s="5">
        <f t="shared" si="0"/>
        <v>7374.9700000000012</v>
      </c>
      <c r="P25" s="5">
        <f t="shared" si="1"/>
        <v>12</v>
      </c>
      <c r="Q25" s="5">
        <f t="shared" si="2"/>
        <v>614.58083333333343</v>
      </c>
    </row>
    <row r="26" spans="1:17">
      <c r="A26" s="4" t="s">
        <v>78</v>
      </c>
      <c r="B26" s="1" t="s">
        <v>77</v>
      </c>
      <c r="C26" s="3">
        <v>2839.97</v>
      </c>
      <c r="D26" s="5">
        <v>2168.14</v>
      </c>
      <c r="E26" s="5">
        <v>1888.5</v>
      </c>
      <c r="F26" s="5">
        <v>2145.8200000000002</v>
      </c>
      <c r="G26" s="5">
        <v>1340.12</v>
      </c>
      <c r="H26" s="5">
        <v>1087.5899999999999</v>
      </c>
      <c r="I26" s="5">
        <v>1181.21</v>
      </c>
      <c r="J26" s="5">
        <v>1515.65</v>
      </c>
      <c r="K26" s="5">
        <v>2059.19</v>
      </c>
      <c r="L26" s="5">
        <v>2136.6999999999998</v>
      </c>
      <c r="M26" s="5">
        <v>1890.92</v>
      </c>
      <c r="N26" s="5">
        <v>826.01</v>
      </c>
      <c r="O26" s="5">
        <f t="shared" si="0"/>
        <v>21079.819999999996</v>
      </c>
      <c r="P26" s="5">
        <f t="shared" si="1"/>
        <v>12</v>
      </c>
      <c r="Q26" s="5">
        <f t="shared" si="2"/>
        <v>1756.6516666666664</v>
      </c>
    </row>
    <row r="27" spans="1:17">
      <c r="A27" s="4" t="s">
        <v>68</v>
      </c>
      <c r="B27" s="1" t="s">
        <v>24</v>
      </c>
      <c r="C27" s="3">
        <v>3125.11</v>
      </c>
      <c r="D27" s="5">
        <v>2833.2</v>
      </c>
      <c r="E27" s="6">
        <v>2831.02</v>
      </c>
      <c r="F27" s="5">
        <v>2922.71</v>
      </c>
      <c r="G27" s="5">
        <v>2328.4699999999998</v>
      </c>
      <c r="H27" s="5">
        <v>2169.7399999999998</v>
      </c>
      <c r="I27" s="5">
        <v>1881.84</v>
      </c>
      <c r="J27" s="5">
        <v>2119.83</v>
      </c>
      <c r="K27" s="5">
        <v>2882.17</v>
      </c>
      <c r="L27" s="5">
        <v>2822.5</v>
      </c>
      <c r="M27" s="5">
        <v>2532.8000000000002</v>
      </c>
      <c r="N27" s="5">
        <v>2999.94</v>
      </c>
      <c r="O27" s="5">
        <f t="shared" si="0"/>
        <v>31449.329999999994</v>
      </c>
      <c r="P27" s="5">
        <f t="shared" si="1"/>
        <v>12</v>
      </c>
      <c r="Q27" s="5">
        <f t="shared" si="2"/>
        <v>2620.7774999999997</v>
      </c>
    </row>
    <row r="28" spans="1:17">
      <c r="A28" s="4">
        <v>70030</v>
      </c>
      <c r="B28" s="1" t="s">
        <v>81</v>
      </c>
      <c r="C28" s="3">
        <v>45204.7</v>
      </c>
      <c r="D28" s="5">
        <v>45945.64</v>
      </c>
      <c r="E28" s="5">
        <v>41996.88</v>
      </c>
      <c r="F28" s="5">
        <v>60018.36</v>
      </c>
      <c r="G28" s="5">
        <v>54614.36</v>
      </c>
      <c r="H28" s="5">
        <v>56180.85</v>
      </c>
      <c r="I28" s="5">
        <v>28667.7</v>
      </c>
      <c r="J28" s="5">
        <v>27318.6</v>
      </c>
      <c r="K28" s="5">
        <v>30694.27</v>
      </c>
      <c r="L28" s="5">
        <v>48162.26</v>
      </c>
      <c r="M28" s="5">
        <v>58835.27</v>
      </c>
      <c r="N28" s="5">
        <v>46157.2</v>
      </c>
      <c r="O28" s="5">
        <f t="shared" si="0"/>
        <v>543796.09</v>
      </c>
      <c r="P28" s="5">
        <f t="shared" si="1"/>
        <v>12</v>
      </c>
      <c r="Q28" s="5">
        <f t="shared" si="2"/>
        <v>45316.340833333328</v>
      </c>
    </row>
    <row r="29" spans="1:17">
      <c r="A29" s="4" t="s">
        <v>26</v>
      </c>
      <c r="B29" s="1" t="s">
        <v>25</v>
      </c>
      <c r="C29" s="3">
        <v>1949.24</v>
      </c>
      <c r="D29" s="5">
        <v>1775.88</v>
      </c>
      <c r="E29" s="5">
        <v>1579.43</v>
      </c>
      <c r="F29" s="5">
        <v>1763.81</v>
      </c>
      <c r="G29" s="5">
        <v>1307.76</v>
      </c>
      <c r="H29" s="5">
        <v>1215.9100000000001</v>
      </c>
      <c r="I29" s="5">
        <v>882.21</v>
      </c>
      <c r="J29" s="5">
        <v>867.99</v>
      </c>
      <c r="K29" s="5">
        <v>1215.44</v>
      </c>
      <c r="L29" s="5">
        <v>1481.8</v>
      </c>
      <c r="M29" s="5">
        <v>1318.13</v>
      </c>
      <c r="N29" s="5">
        <v>1389</v>
      </c>
      <c r="O29" s="5">
        <f t="shared" si="0"/>
        <v>16746.600000000002</v>
      </c>
      <c r="P29" s="5">
        <f t="shared" si="1"/>
        <v>12</v>
      </c>
      <c r="Q29" s="5">
        <f t="shared" si="2"/>
        <v>1395.5500000000002</v>
      </c>
    </row>
    <row r="30" spans="1:17">
      <c r="A30" s="4">
        <v>70032</v>
      </c>
      <c r="B30" s="1" t="s">
        <v>11</v>
      </c>
      <c r="C30" s="3">
        <v>4810.59</v>
      </c>
      <c r="D30" s="5">
        <v>3398.62</v>
      </c>
      <c r="E30" s="5">
        <v>4556.4799999999996</v>
      </c>
      <c r="F30" s="5">
        <v>4226.66</v>
      </c>
      <c r="G30" s="5">
        <v>3183.21</v>
      </c>
      <c r="H30" s="5">
        <v>2081.92</v>
      </c>
      <c r="I30" s="5">
        <v>2285.4699999999998</v>
      </c>
      <c r="J30" s="5">
        <v>2053.77</v>
      </c>
      <c r="K30" s="5">
        <v>3269.69</v>
      </c>
      <c r="L30" s="5">
        <v>4091.91</v>
      </c>
      <c r="M30" s="5">
        <v>3459.09</v>
      </c>
      <c r="N30" s="5">
        <v>3869.76</v>
      </c>
      <c r="O30" s="5">
        <f t="shared" si="0"/>
        <v>41287.169999999991</v>
      </c>
      <c r="P30" s="5">
        <f t="shared" si="1"/>
        <v>12</v>
      </c>
      <c r="Q30" s="5">
        <f t="shared" si="2"/>
        <v>3440.5974999999994</v>
      </c>
    </row>
    <row r="31" spans="1:17">
      <c r="A31" s="4">
        <v>70034</v>
      </c>
      <c r="B31" s="1" t="s">
        <v>27</v>
      </c>
      <c r="C31" s="3">
        <v>6647.23</v>
      </c>
      <c r="D31" s="5">
        <v>4772.26</v>
      </c>
      <c r="E31" s="5">
        <v>6397.65</v>
      </c>
      <c r="F31" s="5">
        <v>6685.69</v>
      </c>
      <c r="G31" s="5">
        <v>5549.89</v>
      </c>
      <c r="H31" s="5">
        <v>2404.13</v>
      </c>
      <c r="I31" s="5">
        <v>2729.52</v>
      </c>
      <c r="J31" s="5">
        <v>2621.42</v>
      </c>
      <c r="K31" s="5">
        <v>3725.37</v>
      </c>
      <c r="L31" s="5">
        <v>5749.37</v>
      </c>
      <c r="M31" s="5">
        <v>6289.97</v>
      </c>
      <c r="N31" s="5">
        <v>5412.98</v>
      </c>
      <c r="O31" s="5">
        <f t="shared" si="0"/>
        <v>58985.479999999996</v>
      </c>
      <c r="P31" s="5">
        <f t="shared" si="1"/>
        <v>12</v>
      </c>
      <c r="Q31" s="5">
        <f t="shared" si="2"/>
        <v>4915.456666666666</v>
      </c>
    </row>
    <row r="32" spans="1:17">
      <c r="A32" s="4">
        <v>70035</v>
      </c>
      <c r="B32" s="1" t="s">
        <v>28</v>
      </c>
      <c r="C32" s="3">
        <v>26432.15</v>
      </c>
      <c r="D32" s="5">
        <v>28109.200000000001</v>
      </c>
      <c r="E32" s="5">
        <v>27390.9</v>
      </c>
      <c r="F32" s="5">
        <v>39939.050000000003</v>
      </c>
      <c r="G32" s="5">
        <v>26389.35</v>
      </c>
      <c r="H32" s="5">
        <v>16376.16</v>
      </c>
      <c r="I32" s="5">
        <v>23139.759999999998</v>
      </c>
      <c r="J32" s="5">
        <v>18338.25</v>
      </c>
      <c r="K32" s="5">
        <v>27690.61</v>
      </c>
      <c r="L32" s="5">
        <v>28572.81</v>
      </c>
      <c r="M32" s="5">
        <v>35700.1</v>
      </c>
      <c r="N32" s="5">
        <v>29289.7</v>
      </c>
      <c r="O32" s="5">
        <f t="shared" si="0"/>
        <v>327368.03999999998</v>
      </c>
      <c r="P32" s="5">
        <f t="shared" si="1"/>
        <v>12</v>
      </c>
      <c r="Q32" s="5">
        <f t="shared" si="2"/>
        <v>27280.67</v>
      </c>
    </row>
    <row r="33" spans="1:17">
      <c r="A33" s="4">
        <v>70037</v>
      </c>
      <c r="B33" s="1" t="s">
        <v>29</v>
      </c>
      <c r="C33" s="3">
        <v>5543.64</v>
      </c>
      <c r="D33" s="5">
        <v>4849.17</v>
      </c>
      <c r="E33" s="5">
        <v>5000.72</v>
      </c>
      <c r="F33" s="5">
        <v>5593.89</v>
      </c>
      <c r="G33" s="5">
        <v>3866.18</v>
      </c>
      <c r="H33" s="5">
        <v>2994.58</v>
      </c>
      <c r="I33" s="5">
        <v>2381.77</v>
      </c>
      <c r="J33" s="5">
        <v>2858.44</v>
      </c>
      <c r="K33" s="5">
        <v>4013.88</v>
      </c>
      <c r="L33" s="5">
        <v>5157.1400000000003</v>
      </c>
      <c r="M33" s="5">
        <v>4808.38</v>
      </c>
      <c r="N33" s="5">
        <v>4752.16</v>
      </c>
      <c r="O33" s="5">
        <f t="shared" si="0"/>
        <v>51819.95</v>
      </c>
      <c r="P33" s="5">
        <f t="shared" si="1"/>
        <v>12</v>
      </c>
      <c r="Q33" s="5">
        <f t="shared" si="2"/>
        <v>4318.3291666666664</v>
      </c>
    </row>
    <row r="34" spans="1:17">
      <c r="A34" s="4">
        <v>70038</v>
      </c>
      <c r="B34" s="1" t="s">
        <v>30</v>
      </c>
      <c r="C34" s="3">
        <v>7025.38</v>
      </c>
      <c r="D34" s="5">
        <v>6984.93</v>
      </c>
      <c r="E34" s="5">
        <v>7179.9</v>
      </c>
      <c r="F34" s="5">
        <v>7926.72</v>
      </c>
      <c r="G34" s="5">
        <v>6483.03</v>
      </c>
      <c r="H34" s="5">
        <v>5042.13</v>
      </c>
      <c r="I34" s="5">
        <v>5427.59</v>
      </c>
      <c r="J34" s="5">
        <v>5323.38</v>
      </c>
      <c r="K34" s="5">
        <v>6818.68</v>
      </c>
      <c r="L34" s="5">
        <v>7135.12</v>
      </c>
      <c r="M34" s="5">
        <v>7213.53</v>
      </c>
      <c r="N34" s="5">
        <v>6810.23</v>
      </c>
      <c r="O34" s="5">
        <f t="shared" si="0"/>
        <v>79370.62</v>
      </c>
      <c r="P34" s="5">
        <f t="shared" si="1"/>
        <v>12</v>
      </c>
      <c r="Q34" s="5">
        <f t="shared" si="2"/>
        <v>6614.2183333333332</v>
      </c>
    </row>
    <row r="35" spans="1:17">
      <c r="A35" s="4" t="s">
        <v>71</v>
      </c>
      <c r="B35" s="1" t="s">
        <v>31</v>
      </c>
      <c r="C35" s="3">
        <v>7929</v>
      </c>
      <c r="D35" s="5">
        <v>6643</v>
      </c>
      <c r="E35" s="5">
        <v>6068</v>
      </c>
      <c r="F35" s="5">
        <v>7766</v>
      </c>
      <c r="G35" s="5">
        <v>4908</v>
      </c>
      <c r="H35" s="5">
        <v>3592</v>
      </c>
      <c r="I35" s="5">
        <v>3197</v>
      </c>
      <c r="J35" s="5">
        <v>3663</v>
      </c>
      <c r="K35" s="5">
        <v>4934</v>
      </c>
      <c r="L35" s="5">
        <v>5750</v>
      </c>
      <c r="M35" s="5">
        <v>5786</v>
      </c>
      <c r="N35" s="5">
        <v>6423</v>
      </c>
      <c r="O35" s="5">
        <f t="shared" si="0"/>
        <v>66659</v>
      </c>
      <c r="P35" s="5">
        <f t="shared" si="1"/>
        <v>12</v>
      </c>
      <c r="Q35" s="5">
        <f t="shared" si="2"/>
        <v>5554.916666666667</v>
      </c>
    </row>
    <row r="36" spans="1:17">
      <c r="A36" s="4">
        <v>70040</v>
      </c>
      <c r="B36" s="1" t="s">
        <v>32</v>
      </c>
      <c r="C36" s="3">
        <v>8087.33</v>
      </c>
      <c r="D36" s="5">
        <v>7638.68</v>
      </c>
      <c r="E36" s="5">
        <v>7540</v>
      </c>
      <c r="F36" s="5">
        <v>8406.9500000000007</v>
      </c>
      <c r="G36" s="5">
        <v>7877.79</v>
      </c>
      <c r="H36" s="5">
        <v>12275.3</v>
      </c>
      <c r="I36" s="5">
        <v>6081.02</v>
      </c>
      <c r="J36" s="5">
        <v>8080.13</v>
      </c>
      <c r="K36" s="5">
        <v>8151.13</v>
      </c>
      <c r="L36" s="5">
        <v>8292.66</v>
      </c>
      <c r="M36" s="5">
        <v>9243.23</v>
      </c>
      <c r="N36" s="5">
        <v>8280.18</v>
      </c>
      <c r="O36" s="5">
        <f t="shared" si="0"/>
        <v>99954.400000000023</v>
      </c>
      <c r="P36" s="5">
        <f t="shared" si="1"/>
        <v>12</v>
      </c>
      <c r="Q36" s="5">
        <f t="shared" si="2"/>
        <v>8329.5333333333347</v>
      </c>
    </row>
    <row r="37" spans="1:17">
      <c r="A37" s="4">
        <v>70043</v>
      </c>
      <c r="B37" s="1" t="s">
        <v>33</v>
      </c>
      <c r="C37" s="3">
        <v>4275.16</v>
      </c>
      <c r="D37" s="5">
        <v>2921.49</v>
      </c>
      <c r="E37" s="5">
        <v>3473.11</v>
      </c>
      <c r="F37" s="5">
        <v>4282.09</v>
      </c>
      <c r="G37" s="5">
        <v>2850.23</v>
      </c>
      <c r="H37" s="5">
        <v>2467.5300000000002</v>
      </c>
      <c r="I37" s="5">
        <v>1714.28</v>
      </c>
      <c r="J37" s="5">
        <v>2203.23</v>
      </c>
      <c r="K37" s="5">
        <v>2869.39</v>
      </c>
      <c r="L37" s="5">
        <v>2975.86</v>
      </c>
      <c r="M37" s="5">
        <v>3205.99</v>
      </c>
      <c r="N37" s="5">
        <v>2950.89</v>
      </c>
      <c r="O37" s="5">
        <f t="shared" si="0"/>
        <v>36189.25</v>
      </c>
      <c r="P37" s="5">
        <f t="shared" si="1"/>
        <v>12</v>
      </c>
      <c r="Q37" s="5">
        <f t="shared" si="2"/>
        <v>3015.7708333333335</v>
      </c>
    </row>
    <row r="38" spans="1:17">
      <c r="A38" s="4">
        <v>70044</v>
      </c>
      <c r="B38" s="1" t="s">
        <v>34</v>
      </c>
      <c r="C38" s="3">
        <v>7774.64</v>
      </c>
      <c r="D38" s="5">
        <v>5727.55</v>
      </c>
      <c r="E38" s="5">
        <v>5246.8</v>
      </c>
      <c r="F38" s="5">
        <v>7481.21</v>
      </c>
      <c r="G38" s="5">
        <v>4477.51</v>
      </c>
      <c r="H38" s="5">
        <v>2867.37</v>
      </c>
      <c r="I38" s="5">
        <v>3524</v>
      </c>
      <c r="J38" s="5">
        <v>4042.01</v>
      </c>
      <c r="K38" s="5">
        <v>5939.71</v>
      </c>
      <c r="L38" s="5">
        <v>7368.4</v>
      </c>
      <c r="M38" s="5">
        <v>6465.45</v>
      </c>
      <c r="N38" s="5">
        <v>7078.8</v>
      </c>
      <c r="O38" s="5">
        <f t="shared" si="0"/>
        <v>67993.45</v>
      </c>
      <c r="P38" s="5">
        <f t="shared" si="1"/>
        <v>12</v>
      </c>
      <c r="Q38" s="5">
        <f t="shared" si="2"/>
        <v>5666.1208333333334</v>
      </c>
    </row>
    <row r="39" spans="1:17">
      <c r="A39" s="4">
        <v>70046</v>
      </c>
      <c r="B39" s="1" t="s">
        <v>35</v>
      </c>
      <c r="C39" s="3">
        <v>1105.75</v>
      </c>
      <c r="D39" s="5">
        <v>1315.25</v>
      </c>
      <c r="E39" s="5">
        <v>1082.25</v>
      </c>
      <c r="F39" s="5">
        <v>1102.25</v>
      </c>
      <c r="G39" s="5">
        <v>1095.25</v>
      </c>
      <c r="H39" s="5">
        <v>1017.15</v>
      </c>
      <c r="I39" s="5">
        <v>923.4</v>
      </c>
      <c r="J39" s="5">
        <v>862.7</v>
      </c>
      <c r="K39" s="5">
        <v>988.9</v>
      </c>
      <c r="L39" s="5">
        <v>1039.2</v>
      </c>
      <c r="M39" s="5">
        <v>1054.55</v>
      </c>
      <c r="N39" s="5">
        <v>1108.45</v>
      </c>
      <c r="O39" s="5">
        <f t="shared" si="0"/>
        <v>12695.1</v>
      </c>
      <c r="P39" s="5">
        <f t="shared" si="1"/>
        <v>12</v>
      </c>
      <c r="Q39" s="5">
        <f t="shared" si="2"/>
        <v>1057.925</v>
      </c>
    </row>
    <row r="40" spans="1:17">
      <c r="A40" s="4">
        <v>70048</v>
      </c>
      <c r="B40" s="1" t="s">
        <v>83</v>
      </c>
      <c r="C40" s="3">
        <v>3100.6</v>
      </c>
      <c r="D40" s="5">
        <v>3213.59</v>
      </c>
      <c r="E40" s="5">
        <v>3096.64</v>
      </c>
      <c r="F40" s="5">
        <v>2212.2600000000002</v>
      </c>
      <c r="G40" s="5">
        <v>1837.68</v>
      </c>
      <c r="H40" s="5">
        <v>1694.18</v>
      </c>
      <c r="I40" s="5">
        <v>1607.07</v>
      </c>
      <c r="J40" s="5">
        <v>1566.85</v>
      </c>
      <c r="K40" s="5">
        <v>2133.44</v>
      </c>
      <c r="L40" s="5">
        <v>2723.76</v>
      </c>
      <c r="M40" s="5">
        <v>3124</v>
      </c>
      <c r="N40" s="5">
        <v>3875.03</v>
      </c>
      <c r="O40" s="5">
        <f t="shared" si="0"/>
        <v>30185.1</v>
      </c>
      <c r="P40" s="5">
        <f t="shared" si="1"/>
        <v>12</v>
      </c>
      <c r="Q40" s="5">
        <f t="shared" si="2"/>
        <v>2515.4249999999997</v>
      </c>
    </row>
    <row r="41" spans="1:17">
      <c r="A41" s="4">
        <v>70049</v>
      </c>
      <c r="B41" s="1" t="s">
        <v>37</v>
      </c>
      <c r="C41" s="3">
        <v>245.95</v>
      </c>
      <c r="D41" s="5">
        <v>179.26</v>
      </c>
      <c r="E41" s="5">
        <v>213.78</v>
      </c>
      <c r="F41" s="5">
        <v>313.98</v>
      </c>
      <c r="G41" s="5">
        <v>213.31</v>
      </c>
      <c r="H41" s="5">
        <v>181.91</v>
      </c>
      <c r="I41" s="5">
        <v>142.37</v>
      </c>
      <c r="J41" s="5">
        <v>143.78</v>
      </c>
      <c r="K41" s="5">
        <v>166.49</v>
      </c>
      <c r="L41" s="5">
        <v>312.64</v>
      </c>
      <c r="M41" s="5">
        <v>250.68</v>
      </c>
      <c r="N41" s="5">
        <v>234.6</v>
      </c>
      <c r="O41" s="5">
        <f t="shared" si="0"/>
        <v>2598.7499999999995</v>
      </c>
      <c r="P41" s="5">
        <f t="shared" si="1"/>
        <v>12</v>
      </c>
      <c r="Q41" s="5">
        <f t="shared" si="2"/>
        <v>216.56249999999997</v>
      </c>
    </row>
    <row r="42" spans="1:17">
      <c r="A42" s="4" t="s">
        <v>79</v>
      </c>
      <c r="B42" s="1" t="s">
        <v>80</v>
      </c>
      <c r="C42" s="3">
        <v>3735</v>
      </c>
      <c r="D42" s="5">
        <v>3249</v>
      </c>
      <c r="E42" s="5">
        <v>2648</v>
      </c>
      <c r="F42" s="5">
        <v>4135</v>
      </c>
      <c r="G42" s="5">
        <v>2822</v>
      </c>
      <c r="H42" s="5">
        <v>2203</v>
      </c>
      <c r="I42" s="5">
        <v>2212</v>
      </c>
      <c r="J42" s="5">
        <v>2609</v>
      </c>
      <c r="K42" s="5">
        <v>2861</v>
      </c>
      <c r="L42" s="5">
        <v>3291</v>
      </c>
      <c r="M42" s="5">
        <v>2437</v>
      </c>
      <c r="N42" s="5">
        <v>79</v>
      </c>
      <c r="O42" s="5">
        <f t="shared" si="0"/>
        <v>32281</v>
      </c>
      <c r="P42" s="5">
        <f t="shared" si="1"/>
        <v>12</v>
      </c>
      <c r="Q42" s="5">
        <f t="shared" si="2"/>
        <v>2690.0833333333335</v>
      </c>
    </row>
    <row r="43" spans="1:17">
      <c r="A43" s="4" t="s">
        <v>2</v>
      </c>
      <c r="B43" s="1" t="s">
        <v>70</v>
      </c>
      <c r="C43" s="3">
        <v>4121.6400000000003</v>
      </c>
      <c r="D43" s="5">
        <v>3479.19</v>
      </c>
      <c r="E43" s="5">
        <v>3599.19</v>
      </c>
      <c r="F43" s="5">
        <v>4527.0600000000004</v>
      </c>
      <c r="G43" s="5">
        <v>3136.41</v>
      </c>
      <c r="H43" s="5">
        <v>2624.46</v>
      </c>
      <c r="I43" s="5">
        <v>2287.3200000000002</v>
      </c>
      <c r="J43" s="5">
        <v>3127.05</v>
      </c>
      <c r="K43" s="5">
        <v>3919.38</v>
      </c>
      <c r="L43" s="5">
        <v>3920.07</v>
      </c>
      <c r="M43" s="5">
        <v>3725.59</v>
      </c>
      <c r="N43" s="5">
        <v>4276.3100000000004</v>
      </c>
      <c r="O43" s="5">
        <f t="shared" si="0"/>
        <v>42743.67</v>
      </c>
      <c r="P43" s="5">
        <f t="shared" si="1"/>
        <v>12</v>
      </c>
      <c r="Q43" s="5">
        <f t="shared" si="2"/>
        <v>3561.9724999999999</v>
      </c>
    </row>
    <row r="44" spans="1:17">
      <c r="A44" s="4">
        <v>70052</v>
      </c>
      <c r="B44" s="1" t="s">
        <v>84</v>
      </c>
      <c r="C44" s="3">
        <v>3644.15</v>
      </c>
      <c r="D44" s="5">
        <v>2532.16</v>
      </c>
      <c r="E44" s="5">
        <v>2559.0700000000002</v>
      </c>
      <c r="F44" s="5">
        <v>2639.38</v>
      </c>
      <c r="G44" s="5">
        <v>2391.86</v>
      </c>
      <c r="H44" s="5">
        <v>1983.11</v>
      </c>
      <c r="I44" s="5">
        <v>2496.3200000000002</v>
      </c>
      <c r="J44" s="5">
        <v>2095.3200000000002</v>
      </c>
      <c r="K44" s="5">
        <v>2573.75</v>
      </c>
      <c r="L44" s="5">
        <v>3725.15</v>
      </c>
      <c r="M44" s="5">
        <v>3835.67</v>
      </c>
      <c r="N44" s="5">
        <v>4701.16</v>
      </c>
      <c r="O44" s="5">
        <f t="shared" si="0"/>
        <v>35177.100000000006</v>
      </c>
      <c r="P44" s="5">
        <f t="shared" si="1"/>
        <v>12</v>
      </c>
      <c r="Q44" s="5">
        <f t="shared" si="2"/>
        <v>2931.4250000000006</v>
      </c>
    </row>
    <row r="45" spans="1:17">
      <c r="A45" s="4">
        <v>70053</v>
      </c>
      <c r="B45" s="1" t="s">
        <v>39</v>
      </c>
      <c r="C45" s="3">
        <v>12020.5</v>
      </c>
      <c r="D45" s="5">
        <v>13479.84</v>
      </c>
      <c r="E45" s="5">
        <v>10258.57</v>
      </c>
      <c r="F45" s="5">
        <v>13353.5</v>
      </c>
      <c r="G45" s="5">
        <v>12987.94</v>
      </c>
      <c r="H45" s="5">
        <v>16233.69</v>
      </c>
      <c r="I45" s="5">
        <v>7994.37</v>
      </c>
      <c r="J45" s="5">
        <v>10328.81</v>
      </c>
      <c r="K45" s="5">
        <v>11740.59</v>
      </c>
      <c r="L45" s="5">
        <v>12366.16</v>
      </c>
      <c r="M45" s="5">
        <v>14092.96</v>
      </c>
      <c r="N45" s="5">
        <v>12634.34</v>
      </c>
      <c r="O45" s="5">
        <f t="shared" si="0"/>
        <v>147491.26999999999</v>
      </c>
      <c r="P45" s="5">
        <f t="shared" si="1"/>
        <v>12</v>
      </c>
      <c r="Q45" s="5">
        <f t="shared" si="2"/>
        <v>12290.939166666665</v>
      </c>
    </row>
    <row r="46" spans="1:17">
      <c r="A46" s="4">
        <v>70054</v>
      </c>
      <c r="B46" s="1" t="s">
        <v>40</v>
      </c>
      <c r="C46" s="3">
        <v>11139.84</v>
      </c>
      <c r="D46" s="5">
        <v>5518.43</v>
      </c>
      <c r="E46" s="5">
        <v>8246.8799999999992</v>
      </c>
      <c r="F46" s="5">
        <v>9885.7999999999993</v>
      </c>
      <c r="G46" s="5">
        <v>5816.92</v>
      </c>
      <c r="H46" s="5">
        <v>3564.61</v>
      </c>
      <c r="I46" s="5">
        <v>3200.67</v>
      </c>
      <c r="J46" s="5">
        <v>3546.22</v>
      </c>
      <c r="K46" s="5">
        <v>4756.8500000000004</v>
      </c>
      <c r="L46" s="5">
        <v>7764.9</v>
      </c>
      <c r="M46" s="5">
        <v>7459.22</v>
      </c>
      <c r="N46" s="5">
        <v>6781.81</v>
      </c>
      <c r="O46" s="5">
        <f t="shared" si="0"/>
        <v>77682.149999999994</v>
      </c>
      <c r="P46" s="5">
        <f t="shared" si="1"/>
        <v>12</v>
      </c>
      <c r="Q46" s="5">
        <f t="shared" si="2"/>
        <v>6473.5124999999998</v>
      </c>
    </row>
    <row r="47" spans="1:17">
      <c r="A47" s="4">
        <v>70055</v>
      </c>
      <c r="B47" s="1" t="s">
        <v>41</v>
      </c>
      <c r="C47" s="3">
        <v>5995.13</v>
      </c>
      <c r="D47" s="5">
        <v>5035.0200000000004</v>
      </c>
      <c r="E47" s="5">
        <v>4452.87</v>
      </c>
      <c r="F47" s="5">
        <v>5002.78</v>
      </c>
      <c r="G47" s="5">
        <v>3842.73</v>
      </c>
      <c r="H47" s="5">
        <v>3011.21</v>
      </c>
      <c r="I47" s="5">
        <v>2290.61</v>
      </c>
      <c r="J47" s="5">
        <v>2337.8000000000002</v>
      </c>
      <c r="K47" s="5">
        <v>3991.17</v>
      </c>
      <c r="L47" s="5">
        <v>4677.45</v>
      </c>
      <c r="M47" s="5">
        <v>4856.3100000000004</v>
      </c>
      <c r="N47" s="5">
        <v>5180.66</v>
      </c>
      <c r="O47" s="5">
        <f t="shared" si="0"/>
        <v>50673.739999999991</v>
      </c>
      <c r="P47" s="5">
        <f t="shared" si="1"/>
        <v>12</v>
      </c>
      <c r="Q47" s="5">
        <f t="shared" si="2"/>
        <v>4222.8116666666656</v>
      </c>
    </row>
    <row r="48" spans="1:17">
      <c r="A48" s="4" t="s">
        <v>62</v>
      </c>
      <c r="B48" s="1" t="s">
        <v>63</v>
      </c>
      <c r="C48" s="3">
        <v>1491.08</v>
      </c>
      <c r="D48" s="5">
        <v>1461.97</v>
      </c>
      <c r="E48" s="5">
        <v>1310.22</v>
      </c>
      <c r="F48" s="5">
        <v>1477.11</v>
      </c>
      <c r="G48" s="5">
        <v>1407.78</v>
      </c>
      <c r="H48" s="5">
        <v>1160.6500000000001</v>
      </c>
      <c r="I48" s="5">
        <v>915.25</v>
      </c>
      <c r="J48" s="5">
        <v>944.68</v>
      </c>
      <c r="K48" s="5">
        <v>1358.93</v>
      </c>
      <c r="L48" s="5">
        <v>1265.56</v>
      </c>
      <c r="M48" s="5">
        <v>1207.9000000000001</v>
      </c>
      <c r="N48" s="5">
        <v>1255.6199999999999</v>
      </c>
      <c r="O48" s="5">
        <f t="shared" si="0"/>
        <v>15256.75</v>
      </c>
      <c r="P48" s="5">
        <f t="shared" si="1"/>
        <v>12</v>
      </c>
      <c r="Q48" s="5">
        <f t="shared" si="2"/>
        <v>1271.3958333333333</v>
      </c>
    </row>
    <row r="49" spans="1:17">
      <c r="A49" s="4">
        <v>70062</v>
      </c>
      <c r="B49" s="1" t="s">
        <v>42</v>
      </c>
      <c r="C49" s="3">
        <v>5932.74</v>
      </c>
      <c r="D49" s="5">
        <v>5573.13</v>
      </c>
      <c r="E49" s="5">
        <v>5464.81</v>
      </c>
      <c r="F49" s="5">
        <v>5899.23</v>
      </c>
      <c r="G49" s="5">
        <v>5104.3999999999996</v>
      </c>
      <c r="H49" s="5">
        <v>3524.73</v>
      </c>
      <c r="I49" s="5">
        <v>3973.6</v>
      </c>
      <c r="J49" s="5">
        <v>4759.24</v>
      </c>
      <c r="K49" s="5">
        <v>5374.28</v>
      </c>
      <c r="L49" s="5">
        <v>5405.02</v>
      </c>
      <c r="M49" s="5">
        <v>6340.26</v>
      </c>
      <c r="N49" s="5">
        <v>5717.42</v>
      </c>
      <c r="O49" s="5">
        <f t="shared" si="0"/>
        <v>63068.859999999993</v>
      </c>
      <c r="P49" s="5">
        <f t="shared" si="1"/>
        <v>12</v>
      </c>
      <c r="Q49" s="5">
        <f t="shared" si="2"/>
        <v>5255.7383333333328</v>
      </c>
    </row>
    <row r="50" spans="1:17">
      <c r="A50" s="4">
        <v>70063</v>
      </c>
      <c r="B50" s="1" t="s">
        <v>43</v>
      </c>
      <c r="C50" s="3">
        <v>6467.15</v>
      </c>
      <c r="D50" s="5">
        <v>6073.4</v>
      </c>
      <c r="E50" s="5">
        <v>6216.7</v>
      </c>
      <c r="F50" s="5">
        <v>7135.1</v>
      </c>
      <c r="G50" s="5">
        <v>6080.6</v>
      </c>
      <c r="H50" s="5">
        <v>4603.1000000000004</v>
      </c>
      <c r="I50" s="5">
        <v>4747.8</v>
      </c>
      <c r="J50" s="5">
        <v>4988.3999999999996</v>
      </c>
      <c r="K50" s="5">
        <v>6215</v>
      </c>
      <c r="L50" s="5">
        <v>6407.29</v>
      </c>
      <c r="M50" s="5">
        <v>6741.62</v>
      </c>
      <c r="N50" s="5">
        <v>6343.89</v>
      </c>
      <c r="O50" s="5">
        <f t="shared" si="0"/>
        <v>72020.05</v>
      </c>
      <c r="P50" s="5">
        <f t="shared" si="1"/>
        <v>12</v>
      </c>
      <c r="Q50" s="5">
        <f t="shared" si="2"/>
        <v>6001.6708333333336</v>
      </c>
    </row>
    <row r="51" spans="1:17">
      <c r="A51" s="4">
        <v>70065</v>
      </c>
      <c r="B51" s="1" t="s">
        <v>44</v>
      </c>
      <c r="C51" s="3">
        <v>135</v>
      </c>
      <c r="D51" s="5">
        <v>122.12</v>
      </c>
      <c r="E51" s="5">
        <v>107.25</v>
      </c>
      <c r="F51" s="5">
        <v>379.5</v>
      </c>
      <c r="G51" s="5">
        <v>179.25</v>
      </c>
      <c r="H51" s="5">
        <v>42.25</v>
      </c>
      <c r="I51" s="5">
        <v>184.29</v>
      </c>
      <c r="J51" s="5">
        <v>123.5</v>
      </c>
      <c r="K51" s="5">
        <v>203.72</v>
      </c>
      <c r="L51" s="5">
        <v>380.27</v>
      </c>
      <c r="M51" s="5">
        <v>206</v>
      </c>
      <c r="N51" s="5">
        <v>55.5</v>
      </c>
      <c r="O51" s="5">
        <f t="shared" si="0"/>
        <v>2118.65</v>
      </c>
      <c r="P51" s="5">
        <f t="shared" si="1"/>
        <v>12</v>
      </c>
      <c r="Q51" s="5">
        <f t="shared" si="2"/>
        <v>176.55416666666667</v>
      </c>
    </row>
    <row r="52" spans="1:17">
      <c r="A52" s="4">
        <v>70066</v>
      </c>
      <c r="B52" s="1" t="s">
        <v>45</v>
      </c>
      <c r="C52" s="3">
        <v>623.29999999999995</v>
      </c>
      <c r="D52" s="5">
        <v>409.75</v>
      </c>
      <c r="E52" s="5">
        <v>540.01</v>
      </c>
      <c r="F52" s="5">
        <v>573.75</v>
      </c>
      <c r="G52" s="5">
        <v>480.96</v>
      </c>
      <c r="H52" s="5">
        <v>234.89</v>
      </c>
      <c r="I52" s="5">
        <v>363.3</v>
      </c>
      <c r="J52" s="5">
        <v>271.31</v>
      </c>
      <c r="K52" s="5">
        <v>387.28</v>
      </c>
      <c r="L52" s="5">
        <v>720.51</v>
      </c>
      <c r="M52" s="5">
        <v>678.89</v>
      </c>
      <c r="N52" s="5">
        <v>543.91</v>
      </c>
      <c r="O52" s="5">
        <f t="shared" si="0"/>
        <v>5827.8600000000006</v>
      </c>
      <c r="P52" s="5">
        <f t="shared" si="1"/>
        <v>12</v>
      </c>
      <c r="Q52" s="5">
        <f t="shared" si="2"/>
        <v>485.65500000000003</v>
      </c>
    </row>
    <row r="53" spans="1:17">
      <c r="A53" s="4">
        <v>70067</v>
      </c>
      <c r="B53" s="1" t="s">
        <v>46</v>
      </c>
      <c r="C53" s="3">
        <v>1782.36</v>
      </c>
      <c r="D53" s="5">
        <v>1991.21</v>
      </c>
      <c r="E53" s="5">
        <v>1088.7</v>
      </c>
      <c r="F53" s="5">
        <v>2282.35</v>
      </c>
      <c r="G53" s="5">
        <v>1451.01</v>
      </c>
      <c r="H53" s="5">
        <v>1058.1600000000001</v>
      </c>
      <c r="I53" s="5">
        <v>1063.49</v>
      </c>
      <c r="J53" s="5">
        <v>658.66</v>
      </c>
      <c r="K53" s="5">
        <v>1490.32</v>
      </c>
      <c r="L53" s="5">
        <v>1928.98</v>
      </c>
      <c r="M53" s="5">
        <v>2228.79</v>
      </c>
      <c r="N53" s="5">
        <v>2263.46</v>
      </c>
      <c r="O53" s="5">
        <f t="shared" si="0"/>
        <v>19287.489999999998</v>
      </c>
      <c r="P53" s="5">
        <f t="shared" si="1"/>
        <v>12</v>
      </c>
      <c r="Q53" s="5">
        <f t="shared" si="2"/>
        <v>1607.2908333333332</v>
      </c>
    </row>
    <row r="54" spans="1:17">
      <c r="A54" s="4">
        <v>70068</v>
      </c>
      <c r="B54" s="1" t="s">
        <v>47</v>
      </c>
      <c r="C54" s="3">
        <v>321.75</v>
      </c>
      <c r="D54" s="5">
        <v>186.9</v>
      </c>
      <c r="E54" s="5">
        <v>245.75</v>
      </c>
      <c r="F54" s="5">
        <v>458.25</v>
      </c>
      <c r="G54" s="5">
        <v>133.88</v>
      </c>
      <c r="H54" s="5">
        <v>54.24</v>
      </c>
      <c r="I54" s="5">
        <v>36.700000000000003</v>
      </c>
      <c r="J54" s="5">
        <v>79.75</v>
      </c>
      <c r="K54" s="5">
        <v>236.05</v>
      </c>
      <c r="L54" s="5">
        <v>376.05</v>
      </c>
      <c r="M54" s="5">
        <v>315.25</v>
      </c>
      <c r="N54" s="5">
        <v>288.60000000000002</v>
      </c>
      <c r="O54" s="5">
        <f t="shared" si="0"/>
        <v>2733.17</v>
      </c>
      <c r="P54" s="5">
        <f t="shared" si="1"/>
        <v>12</v>
      </c>
      <c r="Q54" s="5">
        <f t="shared" si="2"/>
        <v>227.76416666666668</v>
      </c>
    </row>
    <row r="55" spans="1:17">
      <c r="A55" s="4" t="s">
        <v>72</v>
      </c>
      <c r="B55" s="1" t="s">
        <v>48</v>
      </c>
      <c r="C55" s="3">
        <v>5408</v>
      </c>
      <c r="D55" s="5">
        <v>4353</v>
      </c>
      <c r="E55" s="5">
        <v>4199</v>
      </c>
      <c r="F55" s="5">
        <v>5092</v>
      </c>
      <c r="G55" s="5">
        <v>3498</v>
      </c>
      <c r="H55" s="5">
        <v>2531</v>
      </c>
      <c r="I55" s="5">
        <v>2315</v>
      </c>
      <c r="J55" s="5">
        <v>3175</v>
      </c>
      <c r="K55" s="5">
        <v>3857</v>
      </c>
      <c r="L55" s="5">
        <v>4353</v>
      </c>
      <c r="M55" s="5">
        <v>4346</v>
      </c>
      <c r="N55" s="5">
        <v>5053</v>
      </c>
      <c r="O55" s="5">
        <f t="shared" si="0"/>
        <v>48180</v>
      </c>
      <c r="P55" s="5">
        <f t="shared" si="1"/>
        <v>12</v>
      </c>
      <c r="Q55" s="5">
        <f t="shared" si="2"/>
        <v>4015</v>
      </c>
    </row>
    <row r="56" spans="1:17">
      <c r="A56" s="4" t="s">
        <v>65</v>
      </c>
      <c r="B56" s="1" t="s">
        <v>67</v>
      </c>
      <c r="C56" s="3">
        <v>15009.3</v>
      </c>
      <c r="D56" s="5">
        <v>13293.35</v>
      </c>
      <c r="E56" s="5">
        <v>13170.55</v>
      </c>
      <c r="F56" s="5">
        <v>17440.55</v>
      </c>
      <c r="G56" s="5">
        <v>14201.5</v>
      </c>
      <c r="H56" s="5">
        <v>9762.35</v>
      </c>
      <c r="I56" s="5">
        <v>8705.7999999999993</v>
      </c>
      <c r="J56" s="5">
        <v>11994.15</v>
      </c>
      <c r="K56" s="5">
        <v>13060.5</v>
      </c>
      <c r="L56" s="5">
        <v>14401.5</v>
      </c>
      <c r="M56" s="5">
        <v>14706.45</v>
      </c>
      <c r="N56" s="5">
        <v>13881.05</v>
      </c>
      <c r="O56" s="5">
        <f t="shared" si="0"/>
        <v>159627.04999999999</v>
      </c>
      <c r="P56" s="5">
        <f t="shared" si="1"/>
        <v>12</v>
      </c>
      <c r="Q56" s="5">
        <f t="shared" si="2"/>
        <v>13302.254166666666</v>
      </c>
    </row>
    <row r="57" spans="1:17">
      <c r="A57" s="4">
        <v>70071</v>
      </c>
      <c r="B57" s="1" t="s">
        <v>49</v>
      </c>
      <c r="C57" s="3">
        <v>165</v>
      </c>
      <c r="D57" s="5">
        <v>160.5</v>
      </c>
      <c r="E57" s="5">
        <v>52.5</v>
      </c>
      <c r="F57" s="5">
        <v>273.25</v>
      </c>
      <c r="G57" s="5">
        <v>7.5</v>
      </c>
      <c r="H57" s="5">
        <v>15</v>
      </c>
      <c r="I57" s="5">
        <v>16.350000000000001</v>
      </c>
      <c r="J57" s="5">
        <v>67.5</v>
      </c>
      <c r="K57" s="5">
        <v>71.25</v>
      </c>
      <c r="L57" s="5">
        <v>330.28</v>
      </c>
      <c r="M57" s="5">
        <v>296.25</v>
      </c>
      <c r="N57" s="5">
        <v>173.75</v>
      </c>
      <c r="O57" s="5">
        <f t="shared" si="0"/>
        <v>1629.13</v>
      </c>
      <c r="P57" s="5">
        <f t="shared" si="1"/>
        <v>12</v>
      </c>
      <c r="Q57" s="5">
        <f t="shared" si="2"/>
        <v>135.76083333333335</v>
      </c>
    </row>
    <row r="58" spans="1:17">
      <c r="A58" s="4">
        <v>70072</v>
      </c>
      <c r="B58" s="1" t="s">
        <v>50</v>
      </c>
      <c r="C58" s="3">
        <v>5964.69</v>
      </c>
      <c r="D58" s="5">
        <v>5934.17</v>
      </c>
      <c r="E58" s="5">
        <v>6322.81</v>
      </c>
      <c r="F58" s="5">
        <v>6303.51</v>
      </c>
      <c r="G58" s="5">
        <v>5186.8599999999997</v>
      </c>
      <c r="H58" s="5">
        <v>3976.66</v>
      </c>
      <c r="I58" s="5">
        <v>4332.97</v>
      </c>
      <c r="J58" s="5">
        <v>3825.39</v>
      </c>
      <c r="K58" s="5">
        <v>4997</v>
      </c>
      <c r="L58" s="5">
        <v>6047.53</v>
      </c>
      <c r="M58" s="5">
        <v>6552.11</v>
      </c>
      <c r="N58" s="5">
        <v>7333.55</v>
      </c>
      <c r="O58" s="5">
        <f t="shared" si="0"/>
        <v>66777.25</v>
      </c>
      <c r="P58" s="5">
        <f t="shared" si="1"/>
        <v>12</v>
      </c>
      <c r="Q58" s="5">
        <f t="shared" si="2"/>
        <v>5564.770833333333</v>
      </c>
    </row>
    <row r="59" spans="1:17">
      <c r="A59" s="4">
        <v>70073</v>
      </c>
      <c r="B59" s="1" t="s">
        <v>51</v>
      </c>
      <c r="C59" s="3"/>
      <c r="D59" s="5"/>
      <c r="E59" s="5"/>
      <c r="F59" s="5"/>
      <c r="G59" s="5"/>
      <c r="I59" s="5"/>
      <c r="J59" s="5"/>
      <c r="K59" s="5"/>
      <c r="L59" s="5"/>
      <c r="M59" s="5"/>
      <c r="N59" s="5"/>
      <c r="O59" s="5">
        <f t="shared" si="0"/>
        <v>0</v>
      </c>
      <c r="P59" s="5">
        <f t="shared" si="1"/>
        <v>0</v>
      </c>
      <c r="Q59" s="5"/>
    </row>
    <row r="60" spans="1:17">
      <c r="A60" s="4">
        <v>70074</v>
      </c>
      <c r="B60" s="1" t="s">
        <v>52</v>
      </c>
      <c r="C60" s="3">
        <v>988.98</v>
      </c>
      <c r="D60" s="5">
        <v>492.45</v>
      </c>
      <c r="E60" s="5">
        <v>590.25</v>
      </c>
      <c r="F60" s="5">
        <v>514.25</v>
      </c>
      <c r="G60" s="5">
        <v>526.54999999999995</v>
      </c>
      <c r="H60" s="5">
        <v>624.03</v>
      </c>
      <c r="I60" s="5">
        <v>130.65</v>
      </c>
      <c r="J60" s="5">
        <v>158.1</v>
      </c>
      <c r="K60" s="5">
        <v>112.5</v>
      </c>
      <c r="L60" s="5">
        <v>564.35</v>
      </c>
      <c r="M60" s="5">
        <v>898.26</v>
      </c>
      <c r="N60" s="5">
        <v>595.25</v>
      </c>
      <c r="O60" s="5">
        <f t="shared" si="0"/>
        <v>6195.6200000000008</v>
      </c>
      <c r="P60" s="5">
        <f t="shared" si="1"/>
        <v>12</v>
      </c>
      <c r="Q60" s="5">
        <f t="shared" si="2"/>
        <v>516.30166666666673</v>
      </c>
    </row>
    <row r="61" spans="1:17">
      <c r="A61" s="4">
        <v>70075</v>
      </c>
      <c r="B61" s="1" t="s">
        <v>53</v>
      </c>
      <c r="C61" s="3">
        <v>4313</v>
      </c>
      <c r="D61" s="5">
        <v>3211.52</v>
      </c>
      <c r="E61" s="5">
        <v>2731.89</v>
      </c>
      <c r="F61" s="5">
        <v>3576.97</v>
      </c>
      <c r="G61" s="5">
        <v>3357.76</v>
      </c>
      <c r="H61" s="5">
        <v>2311.0100000000002</v>
      </c>
      <c r="I61" s="5">
        <v>1800.03</v>
      </c>
      <c r="J61" s="5">
        <v>2388.6799999999998</v>
      </c>
      <c r="K61" s="5">
        <v>3437.21</v>
      </c>
      <c r="L61" s="5">
        <v>4371</v>
      </c>
      <c r="M61" s="5">
        <v>3896.42</v>
      </c>
      <c r="N61" s="5">
        <v>4064.96</v>
      </c>
      <c r="O61" s="5">
        <f t="shared" si="0"/>
        <v>39460.449999999997</v>
      </c>
      <c r="P61" s="5">
        <f t="shared" si="1"/>
        <v>12</v>
      </c>
      <c r="Q61" s="5">
        <f t="shared" si="2"/>
        <v>3288.3708333333329</v>
      </c>
    </row>
    <row r="62" spans="1:17">
      <c r="A62" s="4">
        <v>70076</v>
      </c>
      <c r="B62" s="1" t="s">
        <v>54</v>
      </c>
      <c r="C62" s="3">
        <v>7004.27</v>
      </c>
      <c r="D62" s="5">
        <v>6304.35</v>
      </c>
      <c r="E62" s="5">
        <v>6499.4</v>
      </c>
      <c r="F62" s="5">
        <v>7640.71</v>
      </c>
      <c r="G62" s="5">
        <v>6249.61</v>
      </c>
      <c r="H62" s="5">
        <v>4216.5200000000004</v>
      </c>
      <c r="I62" s="5">
        <v>3913.88</v>
      </c>
      <c r="J62" s="5">
        <v>4515.04</v>
      </c>
      <c r="K62" s="5">
        <v>6165.32</v>
      </c>
      <c r="L62" s="5">
        <v>6838.98</v>
      </c>
      <c r="M62" s="5">
        <v>6685.41</v>
      </c>
      <c r="N62" s="5">
        <v>6301.91</v>
      </c>
      <c r="O62" s="5">
        <f t="shared" si="0"/>
        <v>72335.400000000009</v>
      </c>
      <c r="P62" s="5">
        <f t="shared" si="1"/>
        <v>12</v>
      </c>
      <c r="Q62" s="5">
        <f t="shared" si="2"/>
        <v>6027.9500000000007</v>
      </c>
    </row>
    <row r="63" spans="1:17">
      <c r="A63" s="4">
        <v>70077</v>
      </c>
      <c r="B63" s="1" t="s">
        <v>3</v>
      </c>
      <c r="C63" s="3">
        <v>1710.84</v>
      </c>
      <c r="D63" s="5">
        <v>1812.79</v>
      </c>
      <c r="E63" s="5">
        <v>1656.96</v>
      </c>
      <c r="F63" s="5">
        <v>2113.73</v>
      </c>
      <c r="G63" s="5">
        <v>1683.86</v>
      </c>
      <c r="H63" s="5">
        <v>1518.34</v>
      </c>
      <c r="I63" s="5">
        <v>1743.84</v>
      </c>
      <c r="J63" s="5">
        <v>1800.63</v>
      </c>
      <c r="K63" s="5">
        <v>1746.17</v>
      </c>
      <c r="L63" s="5">
        <v>1703.52</v>
      </c>
      <c r="M63" s="5">
        <v>1491.3</v>
      </c>
      <c r="N63" s="5">
        <v>1891.47</v>
      </c>
      <c r="O63" s="5">
        <f t="shared" si="0"/>
        <v>20873.45</v>
      </c>
      <c r="P63" s="5">
        <f t="shared" si="1"/>
        <v>12</v>
      </c>
      <c r="Q63" s="5">
        <f t="shared" si="2"/>
        <v>1739.4541666666667</v>
      </c>
    </row>
    <row r="64" spans="1:17">
      <c r="A64" s="4">
        <v>70078</v>
      </c>
      <c r="B64" s="1" t="s">
        <v>55</v>
      </c>
      <c r="C64" s="3">
        <v>6722.43</v>
      </c>
      <c r="D64" s="5">
        <v>5553.01</v>
      </c>
      <c r="E64" s="5">
        <v>8000.61</v>
      </c>
      <c r="F64" s="5">
        <v>7133.91</v>
      </c>
      <c r="G64" s="5">
        <v>6077.15</v>
      </c>
      <c r="H64" s="5">
        <v>5155</v>
      </c>
      <c r="I64" s="5">
        <v>5257.41</v>
      </c>
      <c r="J64" s="5">
        <v>5708.1</v>
      </c>
      <c r="K64" s="5">
        <v>7698.11</v>
      </c>
      <c r="L64" s="5">
        <v>7781.47</v>
      </c>
      <c r="M64" s="5">
        <v>15486.1</v>
      </c>
      <c r="N64" s="5">
        <v>231.39</v>
      </c>
      <c r="O64" s="5">
        <f t="shared" si="0"/>
        <v>80804.69</v>
      </c>
      <c r="P64" s="5">
        <f t="shared" si="1"/>
        <v>12</v>
      </c>
      <c r="Q64" s="5">
        <f t="shared" si="2"/>
        <v>6733.7241666666669</v>
      </c>
    </row>
    <row r="65" spans="1:17">
      <c r="A65" s="4">
        <v>70079</v>
      </c>
      <c r="B65" s="1" t="s">
        <v>56</v>
      </c>
      <c r="C65" s="3">
        <v>4714.9799999999996</v>
      </c>
      <c r="D65" s="5">
        <v>5495.8</v>
      </c>
      <c r="E65" s="6">
        <v>5168.07</v>
      </c>
      <c r="F65" s="5">
        <v>6903.13</v>
      </c>
      <c r="G65" s="5">
        <v>6903.13</v>
      </c>
      <c r="I65" s="5">
        <v>4337.6000000000004</v>
      </c>
      <c r="J65" s="5">
        <v>4574.72</v>
      </c>
      <c r="K65" s="5">
        <v>6773.36</v>
      </c>
      <c r="L65" s="5" t="s">
        <v>69</v>
      </c>
      <c r="M65" s="5">
        <v>7916.05</v>
      </c>
      <c r="N65" s="5">
        <v>6865.65</v>
      </c>
      <c r="O65" s="5">
        <f t="shared" si="0"/>
        <v>59652.490000000005</v>
      </c>
      <c r="P65" s="5">
        <f t="shared" si="1"/>
        <v>10</v>
      </c>
      <c r="Q65" s="5">
        <f t="shared" si="2"/>
        <v>5965.2490000000007</v>
      </c>
    </row>
    <row r="66" spans="1:17">
      <c r="A66" s="4">
        <v>70080</v>
      </c>
      <c r="B66" s="1" t="s">
        <v>57</v>
      </c>
      <c r="C66" s="3">
        <v>6146.06</v>
      </c>
      <c r="D66" s="5">
        <v>4819.7700000000004</v>
      </c>
      <c r="E66" s="5">
        <v>4937.57</v>
      </c>
      <c r="F66" s="5">
        <v>5419.5</v>
      </c>
      <c r="G66" s="5">
        <v>4351.82</v>
      </c>
      <c r="H66" s="5">
        <v>3157.48</v>
      </c>
      <c r="I66" s="5">
        <v>2619.66</v>
      </c>
      <c r="J66" s="5">
        <v>3295.23</v>
      </c>
      <c r="K66" s="5">
        <v>4589.42</v>
      </c>
      <c r="L66" s="5">
        <v>5737.62</v>
      </c>
      <c r="M66" s="5">
        <v>5040.7</v>
      </c>
      <c r="N66" s="5">
        <v>5858.24</v>
      </c>
      <c r="O66" s="5">
        <f t="shared" si="0"/>
        <v>55973.07</v>
      </c>
      <c r="P66" s="5">
        <f t="shared" si="1"/>
        <v>12</v>
      </c>
      <c r="Q66" s="5">
        <f t="shared" si="2"/>
        <v>4664.4224999999997</v>
      </c>
    </row>
    <row r="67" spans="1:17">
      <c r="A67" s="4">
        <v>70081</v>
      </c>
      <c r="B67" s="1" t="s">
        <v>58</v>
      </c>
      <c r="C67" s="3">
        <v>18813.759999999998</v>
      </c>
      <c r="D67" s="5">
        <v>16726.64</v>
      </c>
      <c r="E67" s="5">
        <v>26961.27</v>
      </c>
      <c r="F67" s="5">
        <v>25778.77</v>
      </c>
      <c r="G67" s="5">
        <v>19497.47</v>
      </c>
      <c r="H67" s="5">
        <v>13178.26</v>
      </c>
      <c r="I67" s="5">
        <v>10452.040000000001</v>
      </c>
      <c r="J67" s="5">
        <v>13242.8</v>
      </c>
      <c r="K67" s="5">
        <v>21559.56</v>
      </c>
      <c r="L67" s="5">
        <v>28443.13</v>
      </c>
      <c r="M67" s="5">
        <v>29836.240000000002</v>
      </c>
      <c r="N67" s="5">
        <v>29038.79</v>
      </c>
      <c r="O67" s="5">
        <f>SUM(C67:N67)</f>
        <v>253528.72999999998</v>
      </c>
      <c r="P67" s="5">
        <f>+COUNT(C67:N67)</f>
        <v>12</v>
      </c>
      <c r="Q67" s="5">
        <f>+O67/P67</f>
        <v>21127.394166666665</v>
      </c>
    </row>
    <row r="68" spans="1:17">
      <c r="A68" s="4">
        <v>70082</v>
      </c>
      <c r="B68" s="1" t="s">
        <v>59</v>
      </c>
      <c r="C68" s="3">
        <v>3106.93</v>
      </c>
      <c r="D68" s="5">
        <v>1666.84</v>
      </c>
      <c r="E68" s="5">
        <v>1105.8599999999999</v>
      </c>
      <c r="F68" s="5">
        <v>2626.93</v>
      </c>
      <c r="G68" s="5">
        <v>1597.6</v>
      </c>
      <c r="H68" s="5">
        <v>1419.26</v>
      </c>
      <c r="I68" s="5">
        <v>969.53</v>
      </c>
      <c r="J68" s="5">
        <v>1240.68</v>
      </c>
      <c r="K68" s="5">
        <v>1974.95</v>
      </c>
      <c r="L68" s="5">
        <v>2449.44</v>
      </c>
      <c r="M68" s="5">
        <v>2174.91</v>
      </c>
      <c r="N68" s="5">
        <v>2458.1799999999998</v>
      </c>
      <c r="O68" s="5">
        <f>SUM(C68:N68)</f>
        <v>22791.11</v>
      </c>
      <c r="P68" s="5">
        <f>+COUNT(C68:N68)</f>
        <v>12</v>
      </c>
      <c r="Q68" s="5">
        <f>+O68/P68</f>
        <v>1899.2591666666667</v>
      </c>
    </row>
    <row r="69" spans="1:17">
      <c r="A69" s="4">
        <v>70084</v>
      </c>
      <c r="B69" s="1" t="s">
        <v>64</v>
      </c>
      <c r="C69" s="3"/>
      <c r="D69" s="5"/>
      <c r="F69" s="5" t="s">
        <v>69</v>
      </c>
      <c r="G69" s="5"/>
      <c r="I69" s="5">
        <v>1774.21</v>
      </c>
      <c r="J69" s="8">
        <v>2972.74</v>
      </c>
      <c r="K69" s="5">
        <v>3412.36</v>
      </c>
      <c r="L69" s="5">
        <v>3551.01</v>
      </c>
      <c r="M69" s="5">
        <v>3257.53</v>
      </c>
      <c r="N69" s="5">
        <v>3316.72</v>
      </c>
      <c r="O69" s="5">
        <f>SUM(C69:N69)</f>
        <v>18284.57</v>
      </c>
      <c r="P69" s="5">
        <f>+COUNT(C69:N69)</f>
        <v>6</v>
      </c>
      <c r="Q69" s="5">
        <f>+O69/P69</f>
        <v>3047.4283333333333</v>
      </c>
    </row>
    <row r="70" spans="1:17">
      <c r="A70" s="21">
        <v>70085</v>
      </c>
      <c r="B70" s="22" t="s">
        <v>74</v>
      </c>
      <c r="C70" s="23"/>
      <c r="D70" s="24"/>
      <c r="E70" s="22"/>
      <c r="F70" s="22"/>
      <c r="G70" s="22"/>
      <c r="H70" s="25"/>
      <c r="I70" s="22"/>
      <c r="J70" s="22"/>
      <c r="K70" s="22"/>
      <c r="L70" s="25"/>
      <c r="M70" s="25"/>
      <c r="N70" s="25"/>
      <c r="O70" s="25"/>
      <c r="P70" s="5"/>
      <c r="Q70" s="25"/>
    </row>
    <row r="72" spans="1:17">
      <c r="B72" s="1" t="s">
        <v>140</v>
      </c>
      <c r="C72" s="3">
        <f t="shared" ref="C72:N72" si="3">SUM(C2:C69)</f>
        <v>464795.65000000008</v>
      </c>
      <c r="D72" s="5">
        <f t="shared" si="3"/>
        <v>407488.18000000011</v>
      </c>
      <c r="E72" s="5">
        <f t="shared" si="3"/>
        <v>424635.15000000008</v>
      </c>
      <c r="F72" s="5">
        <f t="shared" si="3"/>
        <v>509552.56999999995</v>
      </c>
      <c r="G72" s="8">
        <f t="shared" si="3"/>
        <v>399516.92999999993</v>
      </c>
      <c r="H72" s="5">
        <f t="shared" si="3"/>
        <v>302664.98</v>
      </c>
      <c r="I72" s="5">
        <f t="shared" si="3"/>
        <v>273637.28000000003</v>
      </c>
      <c r="J72" s="5">
        <f t="shared" si="3"/>
        <v>293023.71999999991</v>
      </c>
      <c r="K72" s="5">
        <f t="shared" si="3"/>
        <v>375674.92</v>
      </c>
      <c r="L72" s="5">
        <f t="shared" si="3"/>
        <v>446939.74000000011</v>
      </c>
      <c r="M72" s="5">
        <f t="shared" si="3"/>
        <v>486181.08999999991</v>
      </c>
      <c r="N72" s="5">
        <f t="shared" si="3"/>
        <v>429605.09999999992</v>
      </c>
      <c r="O72" s="5">
        <f>SUM(O2:O69)</f>
        <v>4813715.3100000015</v>
      </c>
      <c r="P72" s="5"/>
      <c r="Q72" s="5">
        <f>+O72/12</f>
        <v>401142.94250000012</v>
      </c>
    </row>
    <row r="73" spans="1:17">
      <c r="C73" s="3"/>
    </row>
    <row r="74" spans="1:17">
      <c r="C74" s="3"/>
      <c r="I74" s="5"/>
    </row>
  </sheetData>
  <phoneticPr fontId="0" type="noConversion"/>
  <printOptions horizontalCentered="1"/>
  <pageMargins left="0.25" right="0.25" top="1" bottom="0.75" header="0.5" footer="0.5"/>
  <pageSetup scale="74" fitToHeight="2" orientation="landscape" r:id="rId1"/>
  <headerFooter alignWithMargins="0">
    <oddHeader>&amp;C&amp;"Arial,Bold"&amp;22Occupancy Tax Receipts
Fiscal Year 2000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93"/>
  <sheetViews>
    <sheetView zoomScale="125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9.08984375" defaultRowHeight="10"/>
  <cols>
    <col min="1" max="1" width="2" style="1" customWidth="1"/>
    <col min="2" max="2" width="9.08984375" style="1"/>
    <col min="3" max="3" width="7.90625" style="1" bestFit="1" customWidth="1"/>
    <col min="4" max="4" width="32.08984375" style="1" bestFit="1" customWidth="1"/>
    <col min="5" max="5" width="12.08984375" style="1" bestFit="1" customWidth="1"/>
    <col min="6" max="8" width="12" style="1" bestFit="1" customWidth="1"/>
    <col min="9" max="10" width="11.08984375" style="1" bestFit="1" customWidth="1"/>
    <col min="11" max="11" width="12.08984375" style="1" bestFit="1" customWidth="1"/>
    <col min="12" max="14" width="11.08984375" style="1" bestFit="1" customWidth="1"/>
    <col min="15" max="16" width="10.6328125" style="1" customWidth="1"/>
    <col min="17" max="17" width="12" style="1" bestFit="1" customWidth="1"/>
    <col min="18" max="18" width="0" style="1" hidden="1" customWidth="1"/>
    <col min="19" max="19" width="10.6328125" style="1" bestFit="1" customWidth="1"/>
    <col min="20" max="16384" width="9.08984375" style="1"/>
  </cols>
  <sheetData>
    <row r="1" spans="2:19" s="17" customFormat="1" ht="21">
      <c r="B1" s="17" t="s">
        <v>523</v>
      </c>
      <c r="C1" s="14" t="s">
        <v>82</v>
      </c>
      <c r="D1" s="15" t="s">
        <v>0</v>
      </c>
      <c r="E1" s="16" t="s">
        <v>294</v>
      </c>
      <c r="F1" s="16" t="s">
        <v>295</v>
      </c>
      <c r="G1" s="16" t="s">
        <v>296</v>
      </c>
      <c r="H1" s="16" t="s">
        <v>297</v>
      </c>
      <c r="I1" s="16" t="s">
        <v>298</v>
      </c>
      <c r="J1" s="16" t="s">
        <v>299</v>
      </c>
      <c r="K1" s="62" t="s">
        <v>288</v>
      </c>
      <c r="L1" s="62" t="s">
        <v>289</v>
      </c>
      <c r="M1" s="63" t="s">
        <v>290</v>
      </c>
      <c r="N1" s="62" t="s">
        <v>291</v>
      </c>
      <c r="O1" s="62" t="s">
        <v>292</v>
      </c>
      <c r="P1" s="62" t="s">
        <v>293</v>
      </c>
      <c r="Q1" s="64" t="s">
        <v>143</v>
      </c>
      <c r="R1" s="64"/>
      <c r="S1" s="64" t="s">
        <v>142</v>
      </c>
    </row>
    <row r="2" spans="2:19" s="17" customFormat="1" ht="10.5">
      <c r="B2" s="1" t="s">
        <v>531</v>
      </c>
      <c r="C2" s="4">
        <v>15002216</v>
      </c>
      <c r="D2" s="1" t="s">
        <v>329</v>
      </c>
      <c r="E2" s="83"/>
      <c r="F2" s="83"/>
      <c r="G2" s="83"/>
      <c r="H2" s="83"/>
      <c r="I2" s="83"/>
      <c r="J2" s="83"/>
      <c r="K2" s="84"/>
      <c r="L2" s="84"/>
      <c r="M2" s="85"/>
      <c r="N2" s="84"/>
      <c r="O2" s="84"/>
      <c r="P2" s="31">
        <v>21</v>
      </c>
      <c r="Q2" s="8">
        <f t="shared" ref="Q2:Q30" si="0">+SUM(E2:P2)</f>
        <v>21</v>
      </c>
      <c r="R2" s="86"/>
      <c r="S2" s="31">
        <f>+Q2/1</f>
        <v>21</v>
      </c>
    </row>
    <row r="3" spans="2:19">
      <c r="C3" s="4">
        <v>7005002</v>
      </c>
      <c r="D3" s="1" t="s">
        <v>227</v>
      </c>
      <c r="E3" s="31">
        <v>7155</v>
      </c>
      <c r="F3" s="32">
        <v>6619</v>
      </c>
      <c r="G3" s="32">
        <v>6263</v>
      </c>
      <c r="H3" s="32">
        <v>7661</v>
      </c>
      <c r="I3" s="32">
        <v>5520</v>
      </c>
      <c r="J3" s="31">
        <v>4743</v>
      </c>
      <c r="K3" s="31">
        <v>5078</v>
      </c>
      <c r="L3" s="31">
        <v>5139</v>
      </c>
      <c r="M3" s="31">
        <v>5768</v>
      </c>
      <c r="N3" s="31">
        <v>7985</v>
      </c>
      <c r="O3" s="31">
        <v>6324</v>
      </c>
      <c r="P3" s="55">
        <v>5589</v>
      </c>
      <c r="Q3" s="8">
        <f t="shared" si="0"/>
        <v>73844</v>
      </c>
      <c r="R3" s="1">
        <f t="shared" ref="R3:R30" si="1">COUNT(E3:P3)</f>
        <v>12</v>
      </c>
      <c r="S3" s="31">
        <f t="shared" ref="S3:S24" si="2">+Q3/R3</f>
        <v>6153.666666666667</v>
      </c>
    </row>
    <row r="4" spans="2:19">
      <c r="C4" s="4">
        <v>70097</v>
      </c>
      <c r="D4" s="1" t="s">
        <v>100</v>
      </c>
      <c r="E4" s="31">
        <v>3069.46</v>
      </c>
      <c r="F4" s="31">
        <v>3471.95</v>
      </c>
      <c r="G4" s="31">
        <v>5694.88</v>
      </c>
      <c r="H4" s="31">
        <v>4317.9399999999996</v>
      </c>
      <c r="I4" s="31">
        <v>2906.28</v>
      </c>
      <c r="J4" s="31">
        <v>2637.82</v>
      </c>
      <c r="K4" s="31">
        <v>3238.33</v>
      </c>
      <c r="L4" s="31">
        <v>3291.73</v>
      </c>
      <c r="M4" s="31">
        <v>3888.54</v>
      </c>
      <c r="N4" s="31">
        <v>5043.6000000000004</v>
      </c>
      <c r="O4" s="31">
        <v>4537.57</v>
      </c>
      <c r="P4" s="87">
        <v>4239.5600000000004</v>
      </c>
      <c r="Q4" s="8">
        <f t="shared" si="0"/>
        <v>46337.659999999996</v>
      </c>
      <c r="R4" s="1">
        <f t="shared" si="1"/>
        <v>12</v>
      </c>
      <c r="S4" s="31">
        <f t="shared" si="2"/>
        <v>3861.4716666666664</v>
      </c>
    </row>
    <row r="5" spans="2:19">
      <c r="C5" s="4">
        <v>7003902</v>
      </c>
      <c r="D5" s="1" t="s">
        <v>326</v>
      </c>
      <c r="E5" s="31">
        <v>9106</v>
      </c>
      <c r="F5" s="32">
        <v>7606</v>
      </c>
      <c r="G5" s="32">
        <v>7051</v>
      </c>
      <c r="H5" s="32">
        <v>8835</v>
      </c>
      <c r="I5" s="32">
        <v>5679</v>
      </c>
      <c r="J5" s="31">
        <v>5260</v>
      </c>
      <c r="K5" s="31">
        <v>5094</v>
      </c>
      <c r="L5" s="31">
        <v>5131</v>
      </c>
      <c r="M5" s="31">
        <v>6506</v>
      </c>
      <c r="N5" s="31">
        <v>7883</v>
      </c>
      <c r="O5" s="31">
        <v>6599</v>
      </c>
      <c r="P5" s="55">
        <v>6533</v>
      </c>
      <c r="Q5" s="8">
        <f t="shared" si="0"/>
        <v>81283</v>
      </c>
      <c r="R5" s="1">
        <f t="shared" si="1"/>
        <v>12</v>
      </c>
      <c r="S5" s="31">
        <f t="shared" si="2"/>
        <v>6773.583333333333</v>
      </c>
    </row>
    <row r="6" spans="2:19">
      <c r="B6" s="1" t="s">
        <v>533</v>
      </c>
      <c r="C6" s="4">
        <v>15008670</v>
      </c>
      <c r="D6" s="1" t="s">
        <v>114</v>
      </c>
      <c r="E6" s="31">
        <v>2258.92</v>
      </c>
      <c r="F6" s="31">
        <v>2206.84</v>
      </c>
      <c r="G6" s="31">
        <v>1973.94</v>
      </c>
      <c r="H6" s="31">
        <v>2194.11</v>
      </c>
      <c r="I6" s="31">
        <v>1020.24</v>
      </c>
      <c r="J6" s="31">
        <v>1204.3699999999999</v>
      </c>
      <c r="K6" s="31">
        <v>2165.35</v>
      </c>
      <c r="L6" s="31">
        <v>1360.32</v>
      </c>
      <c r="M6" s="31">
        <v>1777.9</v>
      </c>
      <c r="N6" s="31">
        <v>1906.43</v>
      </c>
      <c r="O6" s="31">
        <v>1959.42</v>
      </c>
      <c r="P6" s="31">
        <v>2185.58</v>
      </c>
      <c r="Q6" s="8">
        <f t="shared" si="0"/>
        <v>22213.420000000006</v>
      </c>
      <c r="R6" s="1">
        <f t="shared" si="1"/>
        <v>12</v>
      </c>
      <c r="S6" s="31">
        <f t="shared" si="2"/>
        <v>1851.1183333333338</v>
      </c>
    </row>
    <row r="7" spans="2:19">
      <c r="B7" s="1" t="s">
        <v>534</v>
      </c>
      <c r="C7" s="4">
        <v>70000</v>
      </c>
      <c r="D7" s="1" t="s">
        <v>229</v>
      </c>
      <c r="E7" s="31">
        <v>1030.2</v>
      </c>
      <c r="F7" s="31">
        <v>1028.76</v>
      </c>
      <c r="G7" s="31">
        <v>1115.04</v>
      </c>
      <c r="H7" s="31">
        <v>1003.39</v>
      </c>
      <c r="I7" s="31">
        <v>707.51</v>
      </c>
      <c r="J7" s="31">
        <v>765.72</v>
      </c>
      <c r="K7" s="31">
        <v>967.95</v>
      </c>
      <c r="L7" s="31">
        <v>860.91</v>
      </c>
      <c r="M7" s="31">
        <v>895.38</v>
      </c>
      <c r="N7" s="31">
        <v>922.38</v>
      </c>
      <c r="O7" s="31">
        <v>934.7</v>
      </c>
      <c r="P7" s="31">
        <v>957.84</v>
      </c>
      <c r="Q7" s="8">
        <f t="shared" si="0"/>
        <v>11189.78</v>
      </c>
      <c r="R7" s="1">
        <f t="shared" si="1"/>
        <v>12</v>
      </c>
      <c r="S7" s="31">
        <f t="shared" si="2"/>
        <v>932.48166666666668</v>
      </c>
    </row>
    <row r="8" spans="2:19">
      <c r="B8" s="1" t="s">
        <v>534</v>
      </c>
      <c r="C8" s="42">
        <v>70002</v>
      </c>
      <c r="D8" s="11" t="s">
        <v>230</v>
      </c>
      <c r="E8" s="31">
        <v>2202.6</v>
      </c>
      <c r="F8" s="31">
        <v>1716</v>
      </c>
      <c r="G8" s="31">
        <v>1668</v>
      </c>
      <c r="H8" s="31">
        <v>1578</v>
      </c>
      <c r="I8" s="31">
        <v>1473.18</v>
      </c>
      <c r="J8" s="31">
        <v>1399.2</v>
      </c>
      <c r="K8" s="31">
        <v>1632.81</v>
      </c>
      <c r="L8" s="31">
        <v>1721.36</v>
      </c>
      <c r="M8" s="31">
        <v>1775.37</v>
      </c>
      <c r="N8" s="31">
        <v>1706.17</v>
      </c>
      <c r="O8" s="31">
        <v>1647.79</v>
      </c>
      <c r="P8" s="31">
        <v>1784.32</v>
      </c>
      <c r="Q8" s="8">
        <f t="shared" si="0"/>
        <v>20304.800000000003</v>
      </c>
      <c r="R8" s="1">
        <f t="shared" si="1"/>
        <v>12</v>
      </c>
      <c r="S8" s="31">
        <f t="shared" si="2"/>
        <v>1692.0666666666668</v>
      </c>
    </row>
    <row r="9" spans="2:19">
      <c r="B9" s="1" t="s">
        <v>532</v>
      </c>
      <c r="C9" s="4">
        <v>70044</v>
      </c>
      <c r="D9" s="1" t="s">
        <v>231</v>
      </c>
      <c r="E9" s="31">
        <v>8665.75</v>
      </c>
      <c r="F9" s="31">
        <v>8046.68</v>
      </c>
      <c r="G9" s="32">
        <v>8118.07</v>
      </c>
      <c r="H9" s="32">
        <v>10033.18</v>
      </c>
      <c r="I9" s="31">
        <v>6585.88</v>
      </c>
      <c r="J9" s="31">
        <v>5505.36</v>
      </c>
      <c r="K9" s="31">
        <v>6026.26</v>
      </c>
      <c r="L9" s="31">
        <v>6898.7</v>
      </c>
      <c r="M9" s="31">
        <v>7996.98</v>
      </c>
      <c r="N9" s="31">
        <v>10043.74</v>
      </c>
      <c r="O9" s="31">
        <v>8656.85</v>
      </c>
      <c r="P9" s="31">
        <v>8298.52</v>
      </c>
      <c r="Q9" s="8">
        <f t="shared" si="0"/>
        <v>94875.970000000016</v>
      </c>
      <c r="R9" s="1">
        <f t="shared" si="1"/>
        <v>12</v>
      </c>
      <c r="S9" s="31">
        <f t="shared" si="2"/>
        <v>7906.3308333333343</v>
      </c>
    </row>
    <row r="10" spans="2:19">
      <c r="B10" s="1" t="s">
        <v>536</v>
      </c>
      <c r="C10" s="4">
        <v>70067</v>
      </c>
      <c r="D10" s="1" t="s">
        <v>232</v>
      </c>
      <c r="E10" s="31">
        <v>3616.92</v>
      </c>
      <c r="F10" s="31">
        <v>2907.49</v>
      </c>
      <c r="G10" s="31">
        <v>2184.46</v>
      </c>
      <c r="H10" s="31">
        <v>3286.2</v>
      </c>
      <c r="I10" s="31">
        <v>1700.74</v>
      </c>
      <c r="J10" s="31">
        <v>1306.3800000000001</v>
      </c>
      <c r="K10" s="31">
        <v>2425.9899999999998</v>
      </c>
      <c r="L10" s="31">
        <v>2985.92</v>
      </c>
      <c r="M10" s="31">
        <v>3438.32</v>
      </c>
      <c r="N10" s="31">
        <v>4640.12</v>
      </c>
      <c r="O10" s="31">
        <v>3783.26</v>
      </c>
      <c r="P10" s="31">
        <v>3257.87</v>
      </c>
      <c r="Q10" s="8">
        <f t="shared" si="0"/>
        <v>35533.67</v>
      </c>
      <c r="R10" s="1">
        <f t="shared" si="1"/>
        <v>12</v>
      </c>
      <c r="S10" s="31">
        <f t="shared" si="2"/>
        <v>2961.1391666666664</v>
      </c>
    </row>
    <row r="11" spans="2:19">
      <c r="B11" s="1" t="s">
        <v>532</v>
      </c>
      <c r="C11" s="4">
        <v>70075</v>
      </c>
      <c r="D11" s="1" t="s">
        <v>234</v>
      </c>
      <c r="E11" s="31">
        <v>7239.16</v>
      </c>
      <c r="F11" s="31">
        <v>6319.94</v>
      </c>
      <c r="G11" s="31">
        <v>6652.46</v>
      </c>
      <c r="H11" s="31">
        <v>7384.28</v>
      </c>
      <c r="I11" s="31">
        <v>4766.49</v>
      </c>
      <c r="J11" s="31">
        <v>4473.24</v>
      </c>
      <c r="K11" s="31">
        <v>4244.16</v>
      </c>
      <c r="L11" s="31">
        <v>4989.18</v>
      </c>
      <c r="M11" s="31">
        <v>5415</v>
      </c>
      <c r="N11" s="31">
        <v>7173.36</v>
      </c>
      <c r="O11" s="31">
        <v>4687.92</v>
      </c>
      <c r="P11" s="31">
        <v>5340.18</v>
      </c>
      <c r="Q11" s="8">
        <f t="shared" si="0"/>
        <v>68685.37</v>
      </c>
      <c r="R11" s="1">
        <f t="shared" si="1"/>
        <v>12</v>
      </c>
      <c r="S11" s="31">
        <f t="shared" si="2"/>
        <v>5723.7808333333332</v>
      </c>
    </row>
    <row r="12" spans="2:19">
      <c r="B12" s="1" t="s">
        <v>535</v>
      </c>
      <c r="C12" s="4">
        <v>70053</v>
      </c>
      <c r="D12" s="1" t="s">
        <v>235</v>
      </c>
      <c r="E12" s="31">
        <v>12924.45</v>
      </c>
      <c r="F12" s="31">
        <v>17102.490000000002</v>
      </c>
      <c r="G12" s="31">
        <v>14054.43</v>
      </c>
      <c r="H12" s="31">
        <v>20246.560000000001</v>
      </c>
      <c r="I12" s="31">
        <v>11955.81</v>
      </c>
      <c r="J12" s="31">
        <v>7290.31</v>
      </c>
      <c r="K12" s="31">
        <v>8647.35</v>
      </c>
      <c r="L12" s="31">
        <v>8529.0300000000007</v>
      </c>
      <c r="M12" s="31">
        <v>10785.71</v>
      </c>
      <c r="N12" s="31">
        <v>16770.75</v>
      </c>
      <c r="O12" s="31">
        <v>15319.04</v>
      </c>
      <c r="P12" s="31">
        <v>11408.22</v>
      </c>
      <c r="Q12" s="8">
        <f t="shared" si="0"/>
        <v>155034.15000000002</v>
      </c>
      <c r="R12" s="1">
        <f t="shared" si="1"/>
        <v>12</v>
      </c>
      <c r="S12" s="31">
        <f t="shared" si="2"/>
        <v>12919.512500000003</v>
      </c>
    </row>
    <row r="13" spans="2:19">
      <c r="C13" s="4">
        <v>15003404</v>
      </c>
      <c r="D13" s="1" t="s">
        <v>236</v>
      </c>
      <c r="E13" s="31">
        <v>14996.51</v>
      </c>
      <c r="F13" s="31">
        <v>14731.28</v>
      </c>
      <c r="G13" s="31">
        <v>15165.74</v>
      </c>
      <c r="H13" s="31">
        <v>16776.39</v>
      </c>
      <c r="I13" s="31">
        <v>11757.66</v>
      </c>
      <c r="J13" s="31">
        <v>9342.0400000000009</v>
      </c>
      <c r="K13" s="31">
        <v>9805.8799999999992</v>
      </c>
      <c r="L13" s="31">
        <v>11214.18</v>
      </c>
      <c r="M13" s="31">
        <v>13009.59</v>
      </c>
      <c r="N13" s="31">
        <v>15008.16</v>
      </c>
      <c r="O13" s="31">
        <v>13238.48</v>
      </c>
      <c r="P13" s="31">
        <v>12583.66</v>
      </c>
      <c r="Q13" s="8">
        <f t="shared" si="0"/>
        <v>157629.57</v>
      </c>
      <c r="R13" s="1">
        <f t="shared" si="1"/>
        <v>12</v>
      </c>
      <c r="S13" s="31">
        <f t="shared" si="2"/>
        <v>13135.797500000001</v>
      </c>
    </row>
    <row r="14" spans="2:19">
      <c r="B14" s="1" t="s">
        <v>538</v>
      </c>
      <c r="C14" s="4">
        <v>70020</v>
      </c>
      <c r="D14" s="1" t="s">
        <v>237</v>
      </c>
      <c r="E14" s="31">
        <v>10046.06</v>
      </c>
      <c r="F14" s="31">
        <v>7941.34</v>
      </c>
      <c r="G14" s="31">
        <v>10469.39</v>
      </c>
      <c r="H14" s="32">
        <v>9690.8700000000008</v>
      </c>
      <c r="I14" s="31">
        <v>5699.83</v>
      </c>
      <c r="J14" s="31">
        <v>5483.33</v>
      </c>
      <c r="K14" s="31">
        <v>4092.73</v>
      </c>
      <c r="L14" s="31">
        <v>6592.27</v>
      </c>
      <c r="M14" s="35">
        <v>7635.61</v>
      </c>
      <c r="N14" s="31">
        <v>7929.04</v>
      </c>
      <c r="O14" s="31">
        <v>6551.79</v>
      </c>
      <c r="P14" s="31">
        <v>8283.06</v>
      </c>
      <c r="Q14" s="8">
        <f t="shared" si="0"/>
        <v>90415.319999999992</v>
      </c>
      <c r="R14" s="1">
        <f t="shared" si="1"/>
        <v>12</v>
      </c>
      <c r="S14" s="31">
        <f t="shared" si="2"/>
        <v>7534.61</v>
      </c>
    </row>
    <row r="15" spans="2:19">
      <c r="C15" s="4">
        <v>15006166</v>
      </c>
      <c r="D15" s="1" t="s">
        <v>238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8">
        <f t="shared" si="0"/>
        <v>0</v>
      </c>
      <c r="R15" s="1">
        <f t="shared" si="1"/>
        <v>0</v>
      </c>
      <c r="S15" s="31" t="e">
        <f t="shared" si="2"/>
        <v>#DIV/0!</v>
      </c>
    </row>
    <row r="16" spans="2:19">
      <c r="B16" s="1" t="s">
        <v>536</v>
      </c>
      <c r="C16" s="4">
        <v>15007853</v>
      </c>
      <c r="D16" s="1" t="s">
        <v>111</v>
      </c>
      <c r="E16" s="31">
        <v>3619.04</v>
      </c>
      <c r="F16" s="31">
        <v>3213.65</v>
      </c>
      <c r="G16" s="31">
        <v>2791.9</v>
      </c>
      <c r="H16" s="31">
        <v>3341.26</v>
      </c>
      <c r="I16" s="31">
        <v>2522.98</v>
      </c>
      <c r="J16" s="31">
        <v>2246.2199999999998</v>
      </c>
      <c r="K16" s="31">
        <v>2472.96</v>
      </c>
      <c r="L16" s="31">
        <v>2150.0700000000002</v>
      </c>
      <c r="M16" s="31">
        <v>3104.07</v>
      </c>
      <c r="N16" s="31">
        <v>3595.62</v>
      </c>
      <c r="O16" s="31">
        <v>3378.12</v>
      </c>
      <c r="P16" s="31">
        <v>3137.16</v>
      </c>
      <c r="Q16" s="8">
        <f t="shared" si="0"/>
        <v>35573.049999999996</v>
      </c>
      <c r="R16" s="1">
        <f t="shared" si="1"/>
        <v>12</v>
      </c>
      <c r="S16" s="31">
        <f t="shared" si="2"/>
        <v>2964.4208333333331</v>
      </c>
    </row>
    <row r="17" spans="2:19">
      <c r="B17" s="1" t="s">
        <v>539</v>
      </c>
      <c r="C17" s="4">
        <v>70007</v>
      </c>
      <c r="D17" s="1" t="s">
        <v>239</v>
      </c>
      <c r="E17" s="31">
        <v>337.5</v>
      </c>
      <c r="F17" s="31">
        <v>354.6</v>
      </c>
      <c r="G17" s="31">
        <v>363</v>
      </c>
      <c r="H17" s="31">
        <v>369</v>
      </c>
      <c r="I17" s="31">
        <v>354</v>
      </c>
      <c r="J17" s="31">
        <v>321</v>
      </c>
      <c r="K17" s="31">
        <v>301.5</v>
      </c>
      <c r="L17" s="31">
        <v>309</v>
      </c>
      <c r="M17" s="31">
        <v>319.5</v>
      </c>
      <c r="N17" s="31">
        <v>330</v>
      </c>
      <c r="O17" s="31">
        <v>327</v>
      </c>
      <c r="P17" s="31">
        <v>324</v>
      </c>
      <c r="Q17" s="8">
        <f t="shared" si="0"/>
        <v>4010.1</v>
      </c>
      <c r="R17" s="1">
        <f t="shared" si="1"/>
        <v>12</v>
      </c>
      <c r="S17" s="31">
        <f t="shared" si="2"/>
        <v>334.17500000000001</v>
      </c>
    </row>
    <row r="18" spans="2:19">
      <c r="C18" s="4">
        <v>15010839</v>
      </c>
      <c r="D18" s="1" t="s">
        <v>300</v>
      </c>
      <c r="E18" s="31">
        <v>10492.58</v>
      </c>
      <c r="F18" s="31">
        <v>7332.09</v>
      </c>
      <c r="G18" s="31">
        <v>8354.2000000000007</v>
      </c>
      <c r="H18" s="31">
        <v>10490.38</v>
      </c>
      <c r="I18" s="31">
        <v>4310.8500000000004</v>
      </c>
      <c r="J18" s="31">
        <v>3568.89</v>
      </c>
      <c r="K18" s="31">
        <v>5889.04</v>
      </c>
      <c r="L18" s="31">
        <v>5802.53</v>
      </c>
      <c r="M18" s="31">
        <v>5594.46</v>
      </c>
      <c r="N18" s="31">
        <v>10243.5</v>
      </c>
      <c r="O18" s="31">
        <v>8949.15</v>
      </c>
      <c r="P18" s="31">
        <v>7478.52</v>
      </c>
      <c r="Q18" s="8">
        <f t="shared" si="0"/>
        <v>88506.189999999988</v>
      </c>
      <c r="R18" s="1">
        <f t="shared" si="1"/>
        <v>12</v>
      </c>
      <c r="S18" s="31">
        <f t="shared" si="2"/>
        <v>7375.515833333332</v>
      </c>
    </row>
    <row r="19" spans="2:19">
      <c r="C19" s="4">
        <v>15005502</v>
      </c>
      <c r="D19" s="1" t="s">
        <v>240</v>
      </c>
      <c r="E19" s="31">
        <v>19378.439999999999</v>
      </c>
      <c r="F19" s="31">
        <v>16896.48</v>
      </c>
      <c r="G19" s="31">
        <v>23274.3</v>
      </c>
      <c r="H19" s="31">
        <v>25501.14</v>
      </c>
      <c r="I19" s="31">
        <v>16233.72</v>
      </c>
      <c r="J19" s="31">
        <v>12708.54</v>
      </c>
      <c r="K19" s="31">
        <v>13598.1</v>
      </c>
      <c r="L19" s="31">
        <v>16498.5</v>
      </c>
      <c r="M19" s="31">
        <v>16371.78</v>
      </c>
      <c r="N19" s="31">
        <v>20363.82</v>
      </c>
      <c r="O19" s="31">
        <v>17106.96</v>
      </c>
      <c r="P19" s="31">
        <v>18708.48</v>
      </c>
      <c r="Q19" s="8">
        <f t="shared" si="0"/>
        <v>216640.26</v>
      </c>
      <c r="R19" s="1">
        <f t="shared" si="1"/>
        <v>12</v>
      </c>
      <c r="S19" s="31">
        <f t="shared" si="2"/>
        <v>18053.355</v>
      </c>
    </row>
    <row r="20" spans="2:19">
      <c r="C20" s="4">
        <v>70008</v>
      </c>
      <c r="D20" s="1" t="s">
        <v>241</v>
      </c>
      <c r="E20" s="31">
        <v>2428.64</v>
      </c>
      <c r="F20" s="31">
        <v>2442.9899999999998</v>
      </c>
      <c r="G20" s="31">
        <v>1985.47</v>
      </c>
      <c r="H20" s="31">
        <v>2589.1799999999998</v>
      </c>
      <c r="I20" s="31">
        <v>1614.94</v>
      </c>
      <c r="J20" s="31">
        <v>1391.79</v>
      </c>
      <c r="K20" s="31">
        <v>1729.57</v>
      </c>
      <c r="L20" s="31">
        <v>1545.47</v>
      </c>
      <c r="M20" s="31">
        <v>1936.69</v>
      </c>
      <c r="N20" s="31">
        <v>2474.7199999999998</v>
      </c>
      <c r="O20" s="31">
        <v>2561.1799999999998</v>
      </c>
      <c r="P20" s="31">
        <v>2207.66</v>
      </c>
      <c r="Q20" s="8">
        <f t="shared" si="0"/>
        <v>24908.3</v>
      </c>
      <c r="R20" s="1">
        <f t="shared" si="1"/>
        <v>12</v>
      </c>
      <c r="S20" s="31">
        <f t="shared" si="2"/>
        <v>2075.6916666666666</v>
      </c>
    </row>
    <row r="21" spans="2:19">
      <c r="C21" s="4">
        <v>70072</v>
      </c>
      <c r="D21" s="1" t="s">
        <v>242</v>
      </c>
      <c r="E21" s="31">
        <v>5864.02</v>
      </c>
      <c r="F21" s="31">
        <v>5980.62</v>
      </c>
      <c r="G21" s="31">
        <v>5929.58</v>
      </c>
      <c r="H21" s="31">
        <v>7136.32</v>
      </c>
      <c r="I21" s="31">
        <v>5579.33</v>
      </c>
      <c r="J21" s="31">
        <v>4056.36</v>
      </c>
      <c r="K21" s="31">
        <v>5186.6499999999996</v>
      </c>
      <c r="L21" s="31">
        <v>4964.1499999999996</v>
      </c>
      <c r="M21" s="31">
        <v>6178.88</v>
      </c>
      <c r="N21" s="31">
        <v>7569.65</v>
      </c>
      <c r="O21" s="31">
        <v>6393.01</v>
      </c>
      <c r="P21" s="31">
        <v>6109.4</v>
      </c>
      <c r="Q21" s="8">
        <f t="shared" si="0"/>
        <v>70947.97</v>
      </c>
      <c r="R21" s="1">
        <f t="shared" si="1"/>
        <v>12</v>
      </c>
      <c r="S21" s="31">
        <f t="shared" si="2"/>
        <v>5912.3308333333334</v>
      </c>
    </row>
    <row r="22" spans="2:19">
      <c r="C22" s="4">
        <v>15007588</v>
      </c>
      <c r="D22" s="1" t="s">
        <v>246</v>
      </c>
      <c r="E22" s="31">
        <v>18014.62</v>
      </c>
      <c r="F22" s="31">
        <v>16111.16</v>
      </c>
      <c r="G22" s="31">
        <v>17350.07</v>
      </c>
      <c r="H22" s="31">
        <v>20081.5</v>
      </c>
      <c r="I22" s="31">
        <v>13690.12</v>
      </c>
      <c r="J22" s="31">
        <v>10795.55</v>
      </c>
      <c r="K22" s="31">
        <v>9408.2999999999993</v>
      </c>
      <c r="L22" s="31">
        <v>12706.48</v>
      </c>
      <c r="M22" s="31">
        <v>14381.9</v>
      </c>
      <c r="N22" s="31">
        <v>17921.919999999998</v>
      </c>
      <c r="O22" s="31">
        <v>14823.33</v>
      </c>
      <c r="P22" s="31">
        <v>14700.8</v>
      </c>
      <c r="Q22" s="8">
        <f t="shared" si="0"/>
        <v>179985.74999999997</v>
      </c>
      <c r="R22" s="1">
        <f t="shared" si="1"/>
        <v>12</v>
      </c>
      <c r="S22" s="31">
        <f t="shared" si="2"/>
        <v>14998.812499999998</v>
      </c>
    </row>
    <row r="23" spans="2:19">
      <c r="C23" s="4">
        <v>7001601</v>
      </c>
      <c r="D23" s="1" t="s">
        <v>243</v>
      </c>
      <c r="E23" s="31">
        <v>16473.07</v>
      </c>
      <c r="F23" s="32">
        <v>16338.46</v>
      </c>
      <c r="G23" s="32">
        <v>17254.47</v>
      </c>
      <c r="H23" s="32">
        <v>14924.4</v>
      </c>
      <c r="I23" s="32">
        <v>8668.02</v>
      </c>
      <c r="J23" s="31">
        <v>5237.6000000000004</v>
      </c>
      <c r="K23" s="35">
        <v>6505.42</v>
      </c>
      <c r="L23" s="31">
        <v>8730.16</v>
      </c>
      <c r="M23" s="31">
        <v>9328.56</v>
      </c>
      <c r="N23" s="31">
        <v>15924.32</v>
      </c>
      <c r="O23" s="31">
        <v>13194.37</v>
      </c>
      <c r="P23" s="31">
        <v>12639.39</v>
      </c>
      <c r="Q23" s="8">
        <f t="shared" si="0"/>
        <v>145218.23999999999</v>
      </c>
      <c r="R23" s="1">
        <f t="shared" si="1"/>
        <v>12</v>
      </c>
      <c r="S23" s="31">
        <f t="shared" si="2"/>
        <v>12101.519999999999</v>
      </c>
    </row>
    <row r="24" spans="2:19">
      <c r="C24" s="4">
        <v>15004535</v>
      </c>
      <c r="D24" s="1" t="s">
        <v>112</v>
      </c>
      <c r="E24" s="31">
        <v>1740.75</v>
      </c>
      <c r="F24" s="31">
        <v>1360.92</v>
      </c>
      <c r="G24" s="31">
        <v>2196.9899999999998</v>
      </c>
      <c r="H24" s="31">
        <v>3090.48</v>
      </c>
      <c r="I24" s="31">
        <v>1975.98</v>
      </c>
      <c r="J24" s="31">
        <v>1212.48</v>
      </c>
      <c r="K24" s="31">
        <v>1416.84</v>
      </c>
      <c r="L24" s="31">
        <v>1238.52</v>
      </c>
      <c r="M24" s="31">
        <v>1299.1199999999999</v>
      </c>
      <c r="N24" s="31">
        <v>3974.83</v>
      </c>
      <c r="O24" s="31">
        <v>2568.1799999999998</v>
      </c>
      <c r="P24" s="31">
        <v>1896.12</v>
      </c>
      <c r="Q24" s="8">
        <f t="shared" si="0"/>
        <v>23971.209999999995</v>
      </c>
      <c r="R24" s="1">
        <f t="shared" si="1"/>
        <v>12</v>
      </c>
      <c r="S24" s="31">
        <f t="shared" si="2"/>
        <v>1997.600833333333</v>
      </c>
    </row>
    <row r="25" spans="2:19">
      <c r="C25" s="4">
        <v>70079</v>
      </c>
      <c r="D25" s="1" t="s">
        <v>247</v>
      </c>
      <c r="E25" s="31">
        <v>14733.35</v>
      </c>
      <c r="F25" s="31">
        <v>13666</v>
      </c>
      <c r="G25" s="31">
        <v>14394.07</v>
      </c>
      <c r="H25" s="31">
        <v>16231.89</v>
      </c>
      <c r="I25" s="31">
        <v>11079.26</v>
      </c>
      <c r="J25" s="31">
        <v>8094.14</v>
      </c>
      <c r="K25" s="31">
        <v>9400.2000000000007</v>
      </c>
      <c r="L25" s="31">
        <v>10265.5</v>
      </c>
      <c r="M25" s="31">
        <v>12045.77</v>
      </c>
      <c r="N25" s="31">
        <v>12804.66</v>
      </c>
      <c r="O25" s="31">
        <v>10978.69</v>
      </c>
      <c r="P25" s="31">
        <v>11299.6</v>
      </c>
      <c r="Q25" s="8">
        <f t="shared" si="0"/>
        <v>144993.13</v>
      </c>
      <c r="R25" s="1">
        <f t="shared" si="1"/>
        <v>12</v>
      </c>
      <c r="S25" s="31">
        <f t="shared" ref="S25:S58" si="3">+Q25/R25</f>
        <v>12082.760833333334</v>
      </c>
    </row>
    <row r="26" spans="2:19">
      <c r="C26" s="4">
        <v>70017</v>
      </c>
      <c r="D26" s="1" t="s">
        <v>248</v>
      </c>
      <c r="E26" s="31">
        <v>29890.25</v>
      </c>
      <c r="F26" s="31">
        <v>27747.85</v>
      </c>
      <c r="G26" s="31">
        <v>37917.79</v>
      </c>
      <c r="H26" s="32">
        <v>36891.550000000003</v>
      </c>
      <c r="I26" s="31">
        <v>27674.75</v>
      </c>
      <c r="J26" s="31">
        <v>19486.400000000001</v>
      </c>
      <c r="K26" s="31">
        <v>19727.689999999999</v>
      </c>
      <c r="L26" s="31">
        <v>20856.8</v>
      </c>
      <c r="M26" s="31">
        <v>22784.39</v>
      </c>
      <c r="N26" s="31">
        <v>30308.07</v>
      </c>
      <c r="O26" s="31">
        <v>27287.05</v>
      </c>
      <c r="P26" s="31">
        <v>24349.75</v>
      </c>
      <c r="Q26" s="8">
        <f t="shared" si="0"/>
        <v>324922.33999999997</v>
      </c>
      <c r="R26" s="1">
        <f t="shared" si="1"/>
        <v>12</v>
      </c>
      <c r="S26" s="31">
        <f t="shared" si="3"/>
        <v>27076.861666666664</v>
      </c>
    </row>
    <row r="27" spans="2:19">
      <c r="C27" s="4">
        <v>70095</v>
      </c>
      <c r="D27" s="1" t="s">
        <v>249</v>
      </c>
      <c r="E27" s="31">
        <v>14220.16</v>
      </c>
      <c r="F27" s="31">
        <v>13494.76</v>
      </c>
      <c r="G27" s="31">
        <v>14079.35</v>
      </c>
      <c r="H27" s="31">
        <v>17445.759999999998</v>
      </c>
      <c r="I27" s="31">
        <v>11107.95</v>
      </c>
      <c r="J27" s="31">
        <v>7474.66</v>
      </c>
      <c r="K27" s="31">
        <v>9801.15</v>
      </c>
      <c r="L27" s="31">
        <v>10662.92</v>
      </c>
      <c r="M27" s="31">
        <v>12343.77</v>
      </c>
      <c r="N27" s="31">
        <v>14085.4</v>
      </c>
      <c r="O27" s="31">
        <v>11716.12</v>
      </c>
      <c r="P27" s="31">
        <v>11697.51</v>
      </c>
      <c r="Q27" s="8">
        <f t="shared" si="0"/>
        <v>148129.51</v>
      </c>
      <c r="R27" s="1">
        <f t="shared" si="1"/>
        <v>12</v>
      </c>
      <c r="S27" s="31">
        <f t="shared" si="3"/>
        <v>12344.125833333334</v>
      </c>
    </row>
    <row r="28" spans="2:19">
      <c r="C28" s="4">
        <v>7006902</v>
      </c>
      <c r="D28" s="1" t="s">
        <v>249</v>
      </c>
      <c r="E28" s="31">
        <v>7967</v>
      </c>
      <c r="F28" s="32">
        <v>6605</v>
      </c>
      <c r="G28" s="32">
        <v>6591</v>
      </c>
      <c r="H28" s="32">
        <v>7970</v>
      </c>
      <c r="I28" s="32">
        <v>5545</v>
      </c>
      <c r="J28" s="31">
        <v>5169</v>
      </c>
      <c r="K28" s="31">
        <v>5256</v>
      </c>
      <c r="L28" s="31">
        <v>5320</v>
      </c>
      <c r="M28" s="31">
        <v>6380</v>
      </c>
      <c r="N28" s="31">
        <v>7514</v>
      </c>
      <c r="O28" s="31">
        <v>5769</v>
      </c>
      <c r="P28" s="55">
        <v>5797</v>
      </c>
      <c r="Q28" s="8">
        <f t="shared" si="0"/>
        <v>75883</v>
      </c>
      <c r="R28" s="1">
        <f t="shared" si="1"/>
        <v>12</v>
      </c>
      <c r="S28" s="31">
        <f t="shared" si="3"/>
        <v>6323.583333333333</v>
      </c>
    </row>
    <row r="29" spans="2:19">
      <c r="C29" s="4">
        <v>15006999</v>
      </c>
      <c r="D29" s="1" t="s">
        <v>322</v>
      </c>
      <c r="E29" s="31"/>
      <c r="F29" s="32">
        <v>6941.25</v>
      </c>
      <c r="G29" s="32">
        <v>8334.6299999999992</v>
      </c>
      <c r="H29" s="32">
        <v>10658.9</v>
      </c>
      <c r="I29" s="32">
        <v>8441.31</v>
      </c>
      <c r="J29" s="31">
        <v>5961.4</v>
      </c>
      <c r="K29" s="31">
        <v>7314.43</v>
      </c>
      <c r="L29" s="31">
        <v>7101.5</v>
      </c>
      <c r="M29" s="31">
        <v>8350.58</v>
      </c>
      <c r="N29" s="31">
        <v>10463.950000000001</v>
      </c>
      <c r="O29" s="31">
        <v>9598.61</v>
      </c>
      <c r="P29" s="31">
        <v>8103.13</v>
      </c>
      <c r="Q29" s="8">
        <f>+SUM(E29:P29)</f>
        <v>91269.69</v>
      </c>
      <c r="R29" s="1">
        <f>COUNT(E29:P29)</f>
        <v>11</v>
      </c>
      <c r="S29" s="31">
        <f>+Q29/R29</f>
        <v>8297.244545454545</v>
      </c>
    </row>
    <row r="30" spans="2:19">
      <c r="C30" s="4">
        <v>70018</v>
      </c>
      <c r="D30" s="1" t="s">
        <v>250</v>
      </c>
      <c r="E30" s="31">
        <v>31643.51</v>
      </c>
      <c r="F30" s="31">
        <v>31801.8</v>
      </c>
      <c r="G30" s="31">
        <v>28659.4</v>
      </c>
      <c r="H30" s="32">
        <v>35337.550000000003</v>
      </c>
      <c r="I30" s="31">
        <v>18174.73</v>
      </c>
      <c r="J30" s="31">
        <v>13053.79</v>
      </c>
      <c r="K30" s="31">
        <v>16251.57</v>
      </c>
      <c r="L30" s="31">
        <v>17755.89</v>
      </c>
      <c r="M30" s="31">
        <v>20704.68</v>
      </c>
      <c r="N30" s="31">
        <v>26040.85</v>
      </c>
      <c r="O30" s="31">
        <v>25922.42</v>
      </c>
      <c r="P30" s="31">
        <v>21504.42</v>
      </c>
      <c r="Q30" s="8">
        <f t="shared" si="0"/>
        <v>286850.61</v>
      </c>
      <c r="R30" s="1">
        <f t="shared" si="1"/>
        <v>12</v>
      </c>
      <c r="S30" s="31">
        <f t="shared" si="3"/>
        <v>23904.217499999999</v>
      </c>
    </row>
    <row r="31" spans="2:19">
      <c r="C31" s="4">
        <v>70092</v>
      </c>
      <c r="D31" s="1" t="s">
        <v>93</v>
      </c>
      <c r="E31" s="31">
        <v>13475.45</v>
      </c>
      <c r="F31" s="35">
        <v>12146.28</v>
      </c>
      <c r="G31" s="35">
        <v>14871.74</v>
      </c>
      <c r="H31" s="31">
        <v>16492.66</v>
      </c>
      <c r="I31" s="31">
        <v>11116.3</v>
      </c>
      <c r="J31" s="31">
        <v>6599.48</v>
      </c>
      <c r="K31" s="31">
        <v>9244.2999999999993</v>
      </c>
      <c r="L31" s="32">
        <v>11274.63</v>
      </c>
      <c r="M31" s="87">
        <v>11853.82</v>
      </c>
      <c r="N31" s="96">
        <v>12666.43</v>
      </c>
      <c r="O31" s="96">
        <v>10625.93</v>
      </c>
      <c r="P31" s="99">
        <v>10193.98</v>
      </c>
      <c r="Q31" s="8">
        <f t="shared" ref="Q31:Q62" si="4">+SUM(E31:P31)</f>
        <v>140561</v>
      </c>
      <c r="R31" s="1">
        <f t="shared" ref="R31:R62" si="5">COUNT(E31:P31)</f>
        <v>12</v>
      </c>
      <c r="S31" s="31">
        <f t="shared" si="3"/>
        <v>11713.416666666666</v>
      </c>
    </row>
    <row r="32" spans="2:19">
      <c r="C32" s="4">
        <v>70099</v>
      </c>
      <c r="D32" s="1" t="s">
        <v>105</v>
      </c>
      <c r="E32" s="31">
        <v>13201.16</v>
      </c>
      <c r="F32" s="31">
        <f>12216</f>
        <v>12216</v>
      </c>
      <c r="G32" s="31">
        <f>12904.36</f>
        <v>12904.36</v>
      </c>
      <c r="H32" s="31">
        <v>14206.24</v>
      </c>
      <c r="I32" s="31">
        <v>9544.83</v>
      </c>
      <c r="J32" s="31">
        <v>8384.42</v>
      </c>
      <c r="K32" s="31">
        <v>9355.56</v>
      </c>
      <c r="L32" s="31">
        <v>10835.22</v>
      </c>
      <c r="M32" s="31">
        <v>11754.05</v>
      </c>
      <c r="N32" s="55">
        <v>12070.16</v>
      </c>
      <c r="O32" s="96">
        <v>10398.93</v>
      </c>
      <c r="P32" s="96">
        <v>11171.98</v>
      </c>
      <c r="Q32" s="8">
        <f t="shared" si="4"/>
        <v>136042.91000000003</v>
      </c>
      <c r="R32" s="1">
        <f t="shared" si="5"/>
        <v>12</v>
      </c>
      <c r="S32" s="31">
        <f t="shared" si="3"/>
        <v>11336.90916666667</v>
      </c>
    </row>
    <row r="33" spans="3:19">
      <c r="C33" s="4">
        <v>15006238</v>
      </c>
      <c r="D33" s="1" t="s">
        <v>325</v>
      </c>
      <c r="E33" s="31"/>
      <c r="F33" s="31"/>
      <c r="G33" s="31"/>
      <c r="H33" s="31"/>
      <c r="I33" s="31"/>
      <c r="J33" s="31">
        <v>1656.68</v>
      </c>
      <c r="K33" s="31">
        <v>4973.72</v>
      </c>
      <c r="L33" s="31">
        <v>6495.38</v>
      </c>
      <c r="M33" s="31">
        <v>8804.2900000000009</v>
      </c>
      <c r="N33" s="55">
        <v>11288.03</v>
      </c>
      <c r="O33" s="87">
        <v>8917.49</v>
      </c>
      <c r="P33" s="93">
        <v>7739.03</v>
      </c>
      <c r="Q33" s="8">
        <f>+SUM(E33:P33)</f>
        <v>49874.619999999995</v>
      </c>
      <c r="R33" s="1">
        <f>COUNT(E33:P33)</f>
        <v>7</v>
      </c>
      <c r="S33" s="31">
        <f>+Q33/R33</f>
        <v>7124.9457142857136</v>
      </c>
    </row>
    <row r="34" spans="3:19">
      <c r="C34" s="4">
        <v>70021</v>
      </c>
      <c r="D34" s="1" t="s">
        <v>253</v>
      </c>
      <c r="E34" s="31">
        <v>46996.74</v>
      </c>
      <c r="F34" s="31">
        <v>50067.3</v>
      </c>
      <c r="G34" s="31">
        <v>63354.06</v>
      </c>
      <c r="H34" s="32">
        <v>57229.440000000002</v>
      </c>
      <c r="I34" s="31">
        <v>37547.4</v>
      </c>
      <c r="J34" s="31">
        <v>31061.64</v>
      </c>
      <c r="K34" s="31">
        <v>30896.880000000001</v>
      </c>
      <c r="L34" s="31">
        <v>33180.300000000003</v>
      </c>
      <c r="M34" s="31">
        <v>49691.46</v>
      </c>
      <c r="N34" s="31">
        <v>56171.7</v>
      </c>
      <c r="O34" s="31">
        <v>50605.14</v>
      </c>
      <c r="P34" s="31">
        <v>41051.519999999997</v>
      </c>
      <c r="Q34" s="8">
        <f t="shared" si="4"/>
        <v>547853.58000000007</v>
      </c>
      <c r="R34" s="1">
        <f t="shared" si="5"/>
        <v>12</v>
      </c>
      <c r="S34" s="31">
        <f t="shared" si="3"/>
        <v>45654.465000000004</v>
      </c>
    </row>
    <row r="35" spans="3:19">
      <c r="C35" s="4">
        <v>7002501</v>
      </c>
      <c r="D35" s="1" t="s">
        <v>254</v>
      </c>
      <c r="E35" s="31">
        <v>2902</v>
      </c>
      <c r="F35" s="32">
        <v>3283</v>
      </c>
      <c r="G35" s="32">
        <v>2554</v>
      </c>
      <c r="H35" s="32">
        <v>3025</v>
      </c>
      <c r="I35" s="32">
        <v>1978.2</v>
      </c>
      <c r="J35" s="31">
        <v>1785</v>
      </c>
      <c r="K35" s="31">
        <v>2241</v>
      </c>
      <c r="L35" s="35">
        <v>1623</v>
      </c>
      <c r="M35" s="31">
        <v>2095</v>
      </c>
      <c r="N35" s="31">
        <v>2970</v>
      </c>
      <c r="O35" s="31">
        <v>3360</v>
      </c>
      <c r="P35" s="31">
        <v>3150</v>
      </c>
      <c r="Q35" s="8">
        <f t="shared" si="4"/>
        <v>30966.2</v>
      </c>
      <c r="R35" s="1">
        <f t="shared" si="5"/>
        <v>12</v>
      </c>
      <c r="S35" s="31">
        <f t="shared" si="3"/>
        <v>2580.5166666666669</v>
      </c>
    </row>
    <row r="36" spans="3:19">
      <c r="C36" s="42">
        <v>7002801</v>
      </c>
      <c r="D36" s="11" t="s">
        <v>255</v>
      </c>
      <c r="E36" s="31"/>
      <c r="F36" s="32"/>
      <c r="G36" s="32"/>
      <c r="H36" s="32"/>
      <c r="I36" s="32"/>
      <c r="J36" s="65"/>
      <c r="Q36" s="8">
        <f t="shared" si="4"/>
        <v>0</v>
      </c>
      <c r="R36" s="1">
        <f t="shared" si="5"/>
        <v>0</v>
      </c>
      <c r="S36" s="31" t="e">
        <f t="shared" si="3"/>
        <v>#DIV/0!</v>
      </c>
    </row>
    <row r="37" spans="3:19">
      <c r="C37" s="4">
        <v>70026</v>
      </c>
      <c r="D37" s="1" t="s">
        <v>256</v>
      </c>
      <c r="E37" s="31">
        <v>11214.62</v>
      </c>
      <c r="F37" s="31">
        <v>11526.48</v>
      </c>
      <c r="G37" s="32">
        <v>11940.34</v>
      </c>
      <c r="H37" s="32">
        <v>11270.99</v>
      </c>
      <c r="I37" s="31">
        <v>5996.98</v>
      </c>
      <c r="J37" s="31">
        <v>4455.54</v>
      </c>
      <c r="K37" s="31">
        <v>5727.67</v>
      </c>
      <c r="L37" s="31">
        <v>4433.07</v>
      </c>
      <c r="M37" s="31">
        <v>5478.76</v>
      </c>
      <c r="N37" s="31">
        <v>9640.75</v>
      </c>
      <c r="O37" s="31">
        <v>9535.4500000000007</v>
      </c>
      <c r="P37" s="31">
        <v>8492.02</v>
      </c>
      <c r="Q37" s="8">
        <f t="shared" si="4"/>
        <v>99712.67</v>
      </c>
      <c r="R37" s="1">
        <f t="shared" si="5"/>
        <v>12</v>
      </c>
      <c r="S37" s="31">
        <f t="shared" si="3"/>
        <v>8309.3891666666659</v>
      </c>
    </row>
    <row r="38" spans="3:19">
      <c r="C38" s="4">
        <v>70076</v>
      </c>
      <c r="D38" s="1" t="s">
        <v>258</v>
      </c>
      <c r="E38" s="31">
        <v>9527.14</v>
      </c>
      <c r="F38" s="31">
        <v>8267.1</v>
      </c>
      <c r="G38" s="31">
        <v>9977.7000000000007</v>
      </c>
      <c r="H38" s="31">
        <v>10767.48</v>
      </c>
      <c r="I38" s="31">
        <v>8159.46</v>
      </c>
      <c r="J38" s="31">
        <v>6674.04</v>
      </c>
      <c r="K38" s="31">
        <v>7676.04</v>
      </c>
      <c r="L38" s="31">
        <v>6905.22</v>
      </c>
      <c r="M38" s="31">
        <v>8703.84</v>
      </c>
      <c r="N38" s="31">
        <v>10431.299999999999</v>
      </c>
      <c r="O38" s="31">
        <v>7572.18</v>
      </c>
      <c r="P38" s="31">
        <v>7677.6</v>
      </c>
      <c r="Q38" s="8">
        <f t="shared" si="4"/>
        <v>102339.1</v>
      </c>
      <c r="R38" s="1">
        <f t="shared" si="5"/>
        <v>12</v>
      </c>
      <c r="S38" s="31">
        <f t="shared" si="3"/>
        <v>8528.2583333333332</v>
      </c>
    </row>
    <row r="39" spans="3:19">
      <c r="C39" s="42">
        <v>70081</v>
      </c>
      <c r="D39" s="11" t="s">
        <v>259</v>
      </c>
      <c r="E39" s="31">
        <v>35444.43</v>
      </c>
      <c r="F39" s="31">
        <v>35220.31</v>
      </c>
      <c r="G39" s="31">
        <v>53948.76</v>
      </c>
      <c r="H39" s="31">
        <v>43930.9</v>
      </c>
      <c r="I39" s="31">
        <v>34504.6</v>
      </c>
      <c r="J39" s="31">
        <v>19569.509999999998</v>
      </c>
      <c r="K39" s="31">
        <v>19535.89</v>
      </c>
      <c r="L39" s="31">
        <v>23502.35</v>
      </c>
      <c r="M39" s="31">
        <v>32744.86</v>
      </c>
      <c r="N39" s="31">
        <v>42305.83</v>
      </c>
      <c r="O39" s="31">
        <v>26776.16</v>
      </c>
      <c r="P39" s="31">
        <v>41154.589999999997</v>
      </c>
      <c r="Q39" s="8">
        <f t="shared" si="4"/>
        <v>408638.18999999994</v>
      </c>
      <c r="R39" s="1">
        <f t="shared" si="5"/>
        <v>12</v>
      </c>
      <c r="S39" s="31">
        <f t="shared" si="3"/>
        <v>34053.182499999995</v>
      </c>
    </row>
    <row r="40" spans="3:19">
      <c r="C40" s="4">
        <v>70062</v>
      </c>
      <c r="D40" s="1" t="s">
        <v>260</v>
      </c>
      <c r="E40" s="31">
        <v>9052.19</v>
      </c>
      <c r="F40" s="31">
        <v>8358.48</v>
      </c>
      <c r="G40" s="31">
        <v>9896.48</v>
      </c>
      <c r="H40" s="31">
        <v>10969.79</v>
      </c>
      <c r="I40" s="31">
        <v>7375.34</v>
      </c>
      <c r="J40" s="31">
        <v>5195.57</v>
      </c>
      <c r="K40" s="31">
        <v>5694.52</v>
      </c>
      <c r="L40" s="31">
        <v>6731.81</v>
      </c>
      <c r="M40" s="31">
        <v>7760.02</v>
      </c>
      <c r="N40" s="31">
        <v>9714.48</v>
      </c>
      <c r="O40" s="31">
        <v>8476.74</v>
      </c>
      <c r="P40" s="31">
        <v>8337.27</v>
      </c>
      <c r="Q40" s="8">
        <f t="shared" si="4"/>
        <v>97562.69</v>
      </c>
      <c r="R40" s="1">
        <f t="shared" si="5"/>
        <v>12</v>
      </c>
      <c r="S40" s="31">
        <f t="shared" si="3"/>
        <v>8130.2241666666669</v>
      </c>
    </row>
    <row r="41" spans="3:19">
      <c r="C41" s="4">
        <v>70063</v>
      </c>
      <c r="D41" s="1" t="s">
        <v>261</v>
      </c>
      <c r="E41" s="31">
        <v>10955.82</v>
      </c>
      <c r="F41" s="31">
        <v>10061.219999999999</v>
      </c>
      <c r="G41" s="31">
        <v>11094.12</v>
      </c>
      <c r="H41" s="31">
        <v>13096.92</v>
      </c>
      <c r="I41" s="31">
        <v>8980.44</v>
      </c>
      <c r="J41" s="31">
        <v>6526.92</v>
      </c>
      <c r="K41" s="31">
        <v>7268.94</v>
      </c>
      <c r="L41" s="31">
        <v>8298.9599999999991</v>
      </c>
      <c r="M41" s="31">
        <v>9134.16</v>
      </c>
      <c r="N41" s="31">
        <v>11549.46</v>
      </c>
      <c r="O41" s="31">
        <v>9715.98</v>
      </c>
      <c r="P41" s="31">
        <v>9462.06</v>
      </c>
      <c r="Q41" s="8">
        <f t="shared" si="4"/>
        <v>116144.99999999999</v>
      </c>
      <c r="R41" s="1">
        <f t="shared" si="5"/>
        <v>12</v>
      </c>
      <c r="S41" s="31">
        <f t="shared" si="3"/>
        <v>9678.7499999999982</v>
      </c>
    </row>
    <row r="42" spans="3:19">
      <c r="C42" s="4">
        <v>70027</v>
      </c>
      <c r="D42" s="1" t="s">
        <v>262</v>
      </c>
      <c r="E42" s="31">
        <v>290.85000000000002</v>
      </c>
      <c r="F42" s="31">
        <v>154.38999999999999</v>
      </c>
      <c r="G42" s="31">
        <v>132.06</v>
      </c>
      <c r="H42" s="32">
        <v>130.57</v>
      </c>
      <c r="I42" s="31">
        <v>121.92</v>
      </c>
      <c r="J42" s="31">
        <v>49.25</v>
      </c>
      <c r="K42" s="32">
        <v>136.27000000000001</v>
      </c>
      <c r="L42" s="31">
        <v>76.709999999999994</v>
      </c>
      <c r="M42" s="31">
        <v>107.09</v>
      </c>
      <c r="N42" s="31">
        <v>100.59</v>
      </c>
      <c r="O42" s="31">
        <v>154.83000000000001</v>
      </c>
      <c r="P42" s="31">
        <v>123.41</v>
      </c>
      <c r="Q42" s="8">
        <f t="shared" si="4"/>
        <v>1577.9399999999996</v>
      </c>
      <c r="R42" s="1">
        <f t="shared" si="5"/>
        <v>12</v>
      </c>
      <c r="S42" s="31">
        <f t="shared" si="3"/>
        <v>131.49499999999998</v>
      </c>
    </row>
    <row r="43" spans="3:19">
      <c r="C43" s="4">
        <v>70087</v>
      </c>
      <c r="D43" s="1" t="s">
        <v>109</v>
      </c>
      <c r="E43" s="31">
        <v>2184.4899999999998</v>
      </c>
      <c r="F43" s="31">
        <v>900</v>
      </c>
      <c r="G43" s="31">
        <v>3298.56</v>
      </c>
      <c r="H43" s="31">
        <v>1296.48</v>
      </c>
      <c r="I43" s="31">
        <v>1237.8599999999999</v>
      </c>
      <c r="J43" s="31">
        <v>431.28</v>
      </c>
      <c r="K43" s="31">
        <v>415.68</v>
      </c>
      <c r="L43" s="31">
        <v>372.24</v>
      </c>
      <c r="M43" s="31">
        <v>864.6</v>
      </c>
      <c r="N43" s="31">
        <v>1189.5</v>
      </c>
      <c r="O43" s="31">
        <v>1013.94</v>
      </c>
      <c r="P43" s="31">
        <v>999.54</v>
      </c>
      <c r="Q43" s="8">
        <f t="shared" si="4"/>
        <v>14204.170000000002</v>
      </c>
      <c r="R43" s="1">
        <f t="shared" si="5"/>
        <v>12</v>
      </c>
      <c r="S43" s="31">
        <f t="shared" si="3"/>
        <v>1183.6808333333336</v>
      </c>
    </row>
    <row r="44" spans="3:19">
      <c r="C44" s="4">
        <v>7002901</v>
      </c>
      <c r="D44" s="1" t="s">
        <v>263</v>
      </c>
      <c r="E44" s="31">
        <v>3307.83</v>
      </c>
      <c r="F44" s="32">
        <v>3007.74</v>
      </c>
      <c r="G44" s="32">
        <v>2510.63</v>
      </c>
      <c r="H44" s="32">
        <v>3332.92</v>
      </c>
      <c r="I44" s="32">
        <v>2284.0100000000002</v>
      </c>
      <c r="J44" s="32">
        <v>2134.12</v>
      </c>
      <c r="K44" s="32">
        <v>2342.8200000000002</v>
      </c>
      <c r="L44" s="31">
        <v>2168.16</v>
      </c>
      <c r="M44" s="31">
        <v>2850.3</v>
      </c>
      <c r="N44" s="31">
        <v>3431.94</v>
      </c>
      <c r="O44" s="31">
        <v>2805.3</v>
      </c>
      <c r="P44" s="31">
        <v>2877.72</v>
      </c>
      <c r="Q44" s="8">
        <f t="shared" si="4"/>
        <v>33053.49</v>
      </c>
      <c r="R44" s="1">
        <f t="shared" si="5"/>
        <v>12</v>
      </c>
      <c r="S44" s="31">
        <f t="shared" si="3"/>
        <v>2754.4575</v>
      </c>
    </row>
    <row r="45" spans="3:19">
      <c r="C45" s="4">
        <v>70088</v>
      </c>
      <c r="D45" s="1" t="s">
        <v>88</v>
      </c>
      <c r="E45" s="31">
        <v>614.91999999999996</v>
      </c>
      <c r="F45" s="31">
        <v>460.2</v>
      </c>
      <c r="G45" s="31">
        <v>866.28</v>
      </c>
      <c r="H45" s="31">
        <v>990.85</v>
      </c>
      <c r="I45" s="31">
        <v>188.12</v>
      </c>
      <c r="J45" s="31">
        <v>285.02</v>
      </c>
      <c r="K45" s="31">
        <v>73.72</v>
      </c>
      <c r="L45" s="31">
        <v>232.61</v>
      </c>
      <c r="M45" s="31">
        <v>376.29</v>
      </c>
      <c r="N45" s="31">
        <v>863.65</v>
      </c>
      <c r="O45" s="31">
        <v>1388.88</v>
      </c>
      <c r="P45" s="31">
        <v>686.87</v>
      </c>
      <c r="Q45" s="8">
        <f t="shared" si="4"/>
        <v>7027.41</v>
      </c>
      <c r="R45" s="1">
        <f t="shared" si="5"/>
        <v>12</v>
      </c>
      <c r="S45" s="31">
        <f t="shared" si="3"/>
        <v>585.61749999999995</v>
      </c>
    </row>
    <row r="46" spans="3:19">
      <c r="C46" s="4">
        <v>70030</v>
      </c>
      <c r="D46" s="1" t="s">
        <v>264</v>
      </c>
      <c r="E46" s="31">
        <v>138551.54</v>
      </c>
      <c r="F46" s="31">
        <v>67656.97</v>
      </c>
      <c r="G46" s="31">
        <v>112620.05</v>
      </c>
      <c r="H46" s="32">
        <v>81456.320000000007</v>
      </c>
      <c r="I46" s="31">
        <v>54521.34</v>
      </c>
      <c r="J46" s="31">
        <v>35511.279999999999</v>
      </c>
      <c r="K46" s="31">
        <v>29001.599999999999</v>
      </c>
      <c r="L46" s="66">
        <f>29001.6+7455.24</f>
        <v>36456.839999999997</v>
      </c>
      <c r="M46" s="31">
        <v>45747.69</v>
      </c>
      <c r="N46" s="31">
        <v>60590.15</v>
      </c>
      <c r="O46" s="31">
        <v>69636.490000000005</v>
      </c>
      <c r="P46" s="31">
        <v>52054.43</v>
      </c>
      <c r="Q46" s="8">
        <f t="shared" si="4"/>
        <v>783804.7</v>
      </c>
      <c r="R46" s="1">
        <f t="shared" si="5"/>
        <v>12</v>
      </c>
      <c r="S46" s="31">
        <f t="shared" si="3"/>
        <v>65317.058333333327</v>
      </c>
    </row>
    <row r="47" spans="3:19">
      <c r="C47" s="4">
        <v>15013835</v>
      </c>
      <c r="D47" s="1" t="s">
        <v>331</v>
      </c>
      <c r="E47" s="31"/>
      <c r="F47" s="31"/>
      <c r="G47" s="31"/>
      <c r="H47" s="32"/>
      <c r="I47" s="31"/>
      <c r="J47" s="31"/>
      <c r="K47" s="31"/>
      <c r="L47" s="66"/>
      <c r="M47" s="31"/>
      <c r="N47" s="31"/>
      <c r="O47" s="31">
        <v>21.48</v>
      </c>
      <c r="P47" s="31">
        <v>2435.71</v>
      </c>
      <c r="Q47" s="8">
        <f>+SUM(E47:P47)</f>
        <v>2457.19</v>
      </c>
      <c r="R47" s="1">
        <f>COUNT(E47:P47)</f>
        <v>2</v>
      </c>
      <c r="S47" s="31">
        <f>+Q47/R47</f>
        <v>1228.595</v>
      </c>
    </row>
    <row r="48" spans="3:19">
      <c r="C48" s="4">
        <v>7005102</v>
      </c>
      <c r="D48" s="1" t="s">
        <v>265</v>
      </c>
      <c r="E48" s="31">
        <v>4151.28</v>
      </c>
      <c r="F48" s="32">
        <v>3926.53</v>
      </c>
      <c r="G48" s="32">
        <v>3703.57</v>
      </c>
      <c r="H48" s="32">
        <v>5105.04</v>
      </c>
      <c r="I48" s="32">
        <v>3630.57</v>
      </c>
      <c r="J48" s="31">
        <v>3366.15</v>
      </c>
      <c r="K48" s="31">
        <v>3608.26</v>
      </c>
      <c r="L48" s="31">
        <v>3947.84</v>
      </c>
      <c r="M48" s="31">
        <v>3900.03</v>
      </c>
      <c r="N48" s="31">
        <v>5438.19</v>
      </c>
      <c r="O48" s="31">
        <v>5080.24</v>
      </c>
      <c r="P48" s="31">
        <v>4432.71</v>
      </c>
      <c r="Q48" s="8">
        <f t="shared" si="4"/>
        <v>50290.41</v>
      </c>
      <c r="R48" s="1">
        <f t="shared" si="5"/>
        <v>12</v>
      </c>
      <c r="S48" s="31">
        <f t="shared" si="3"/>
        <v>4190.8675000000003</v>
      </c>
    </row>
    <row r="49" spans="3:19">
      <c r="C49" s="4">
        <v>70055</v>
      </c>
      <c r="D49" s="1" t="s">
        <v>266</v>
      </c>
      <c r="E49" s="31">
        <v>5995.7</v>
      </c>
      <c r="F49" s="31">
        <v>6344.77</v>
      </c>
      <c r="G49" s="31">
        <v>5692.85</v>
      </c>
      <c r="H49" s="31">
        <v>5430.22</v>
      </c>
      <c r="I49" s="31">
        <v>5102.1000000000004</v>
      </c>
      <c r="J49" s="31">
        <v>4559.63</v>
      </c>
      <c r="K49" s="31">
        <v>4649.9399999999996</v>
      </c>
      <c r="L49" s="31">
        <v>4240.01</v>
      </c>
      <c r="M49" s="31">
        <v>5295.1</v>
      </c>
      <c r="N49" s="31">
        <v>6216.95</v>
      </c>
      <c r="O49" s="31">
        <v>5837.52</v>
      </c>
      <c r="P49" s="31">
        <v>5713.73</v>
      </c>
      <c r="Q49" s="8">
        <f t="shared" si="4"/>
        <v>65078.51999999999</v>
      </c>
      <c r="R49" s="1">
        <f t="shared" si="5"/>
        <v>12</v>
      </c>
      <c r="S49" s="31">
        <f t="shared" si="3"/>
        <v>5423.2099999999991</v>
      </c>
    </row>
    <row r="50" spans="3:19">
      <c r="C50" s="4">
        <v>7003101</v>
      </c>
      <c r="D50" s="1" t="s">
        <v>267</v>
      </c>
      <c r="E50" s="31">
        <v>1080.3499999999999</v>
      </c>
      <c r="F50" s="32">
        <v>1119.08</v>
      </c>
      <c r="G50" s="32">
        <v>1026.69</v>
      </c>
      <c r="H50" s="32">
        <v>1030.6199999999999</v>
      </c>
      <c r="I50" s="32">
        <v>739.52</v>
      </c>
      <c r="J50" s="31">
        <v>834.22</v>
      </c>
      <c r="K50" s="31">
        <v>1000.45</v>
      </c>
      <c r="L50" s="31">
        <v>952.47</v>
      </c>
      <c r="M50" s="31">
        <v>1053.25</v>
      </c>
      <c r="N50" s="31">
        <v>929.36</v>
      </c>
      <c r="O50" s="31">
        <v>1031.81</v>
      </c>
      <c r="P50" s="31">
        <v>809.97</v>
      </c>
      <c r="Q50" s="8">
        <f t="shared" si="4"/>
        <v>11607.79</v>
      </c>
      <c r="R50" s="1">
        <f t="shared" si="5"/>
        <v>12</v>
      </c>
      <c r="S50" s="31">
        <f t="shared" si="3"/>
        <v>967.31583333333344</v>
      </c>
    </row>
    <row r="51" spans="3:19">
      <c r="C51" s="4">
        <v>7003201</v>
      </c>
      <c r="D51" s="1" t="s">
        <v>330</v>
      </c>
      <c r="E51" s="31"/>
      <c r="F51" s="32"/>
      <c r="G51" s="32"/>
      <c r="H51" s="32"/>
      <c r="I51" s="32"/>
      <c r="J51" s="31"/>
      <c r="K51" s="31"/>
      <c r="L51" s="31"/>
      <c r="M51" s="31"/>
      <c r="N51" s="31"/>
      <c r="O51" s="31"/>
      <c r="P51" s="31"/>
      <c r="Q51" s="8"/>
      <c r="S51" s="31"/>
    </row>
    <row r="52" spans="3:19">
      <c r="C52" s="4">
        <v>7008901</v>
      </c>
      <c r="D52" s="1" t="s">
        <v>268</v>
      </c>
      <c r="E52" s="31">
        <v>5569.08</v>
      </c>
      <c r="F52" s="32">
        <v>3713.58</v>
      </c>
      <c r="G52" s="32">
        <v>6156.78</v>
      </c>
      <c r="H52" s="32">
        <v>5098.32</v>
      </c>
      <c r="I52" s="32">
        <v>3196.2</v>
      </c>
      <c r="J52" s="31">
        <v>1987.08</v>
      </c>
      <c r="K52" s="31">
        <v>2820.9</v>
      </c>
      <c r="L52" s="31">
        <v>2384.4</v>
      </c>
      <c r="M52" s="31">
        <v>2607.36</v>
      </c>
      <c r="N52" s="31">
        <v>4292.5200000000004</v>
      </c>
      <c r="O52" s="31">
        <v>2765.46</v>
      </c>
      <c r="P52" s="31">
        <v>2981.16</v>
      </c>
      <c r="Q52" s="8">
        <f t="shared" si="4"/>
        <v>43572.84</v>
      </c>
      <c r="R52" s="1">
        <f t="shared" si="5"/>
        <v>12</v>
      </c>
      <c r="S52" s="31">
        <f t="shared" si="3"/>
        <v>3631.0699999999997</v>
      </c>
    </row>
    <row r="53" spans="3:19">
      <c r="C53" s="4">
        <v>70035</v>
      </c>
      <c r="D53" s="1" t="s">
        <v>269</v>
      </c>
      <c r="E53" s="31">
        <v>44881.15</v>
      </c>
      <c r="F53" s="31">
        <v>42325.32</v>
      </c>
      <c r="G53" s="31">
        <v>56835.87</v>
      </c>
      <c r="H53" s="32">
        <v>48073.61</v>
      </c>
      <c r="I53" s="31">
        <v>31172.69</v>
      </c>
      <c r="J53" s="31">
        <v>15868.17</v>
      </c>
      <c r="K53" s="31">
        <v>21489.21</v>
      </c>
      <c r="L53" s="31">
        <v>23103.4</v>
      </c>
      <c r="M53" s="31">
        <v>34357.410000000003</v>
      </c>
      <c r="N53" s="31">
        <v>51566.98</v>
      </c>
      <c r="O53" s="31">
        <v>37718.14</v>
      </c>
      <c r="P53" s="31">
        <v>29349.68</v>
      </c>
      <c r="Q53" s="8">
        <f t="shared" si="4"/>
        <v>436741.63000000006</v>
      </c>
      <c r="R53" s="1">
        <f t="shared" si="5"/>
        <v>12</v>
      </c>
      <c r="S53" s="31">
        <f t="shared" si="3"/>
        <v>36395.135833333341</v>
      </c>
    </row>
    <row r="54" spans="3:19">
      <c r="C54" s="4">
        <v>7001502</v>
      </c>
      <c r="D54" s="1" t="s">
        <v>270</v>
      </c>
      <c r="E54" s="31">
        <v>7598.53</v>
      </c>
      <c r="F54" s="32">
        <v>7082.69</v>
      </c>
      <c r="G54" s="32">
        <v>6327.44</v>
      </c>
      <c r="H54" s="32">
        <v>7215.29</v>
      </c>
      <c r="I54" s="32">
        <v>3770.71</v>
      </c>
      <c r="J54" s="31">
        <v>4025.4</v>
      </c>
      <c r="K54" s="31">
        <v>4171.78</v>
      </c>
      <c r="L54" s="31">
        <v>3596.29</v>
      </c>
      <c r="M54" s="31">
        <v>5673.2</v>
      </c>
      <c r="N54" s="31">
        <v>7642.43</v>
      </c>
      <c r="O54" s="31">
        <v>7111.1</v>
      </c>
      <c r="P54" s="31">
        <v>6136.34</v>
      </c>
      <c r="Q54" s="8">
        <f t="shared" si="4"/>
        <v>70351.199999999997</v>
      </c>
      <c r="R54" s="1">
        <f t="shared" si="5"/>
        <v>12</v>
      </c>
      <c r="S54" s="31">
        <f t="shared" si="3"/>
        <v>5862.5999999999995</v>
      </c>
    </row>
    <row r="55" spans="3:19">
      <c r="C55" s="4">
        <v>70084</v>
      </c>
      <c r="D55" s="1" t="s">
        <v>271</v>
      </c>
      <c r="E55" s="31">
        <v>3672.33</v>
      </c>
      <c r="F55" s="31">
        <v>2422.64</v>
      </c>
      <c r="G55" s="31">
        <v>2669.42</v>
      </c>
      <c r="H55" s="31">
        <v>3281.01</v>
      </c>
      <c r="I55" s="31">
        <v>1863.22</v>
      </c>
      <c r="J55" s="31">
        <v>1119.22</v>
      </c>
      <c r="K55" s="31">
        <v>2079.8000000000002</v>
      </c>
      <c r="L55" s="31">
        <v>1999.87</v>
      </c>
      <c r="M55" s="31">
        <v>2213.4</v>
      </c>
      <c r="N55" s="31">
        <v>3409.6</v>
      </c>
      <c r="O55" s="31">
        <v>2398.5500000000002</v>
      </c>
      <c r="P55" s="31">
        <v>3006.82</v>
      </c>
      <c r="Q55" s="8">
        <f t="shared" si="4"/>
        <v>30135.879999999997</v>
      </c>
      <c r="R55" s="1">
        <f t="shared" si="5"/>
        <v>12</v>
      </c>
      <c r="S55" s="31">
        <f t="shared" si="3"/>
        <v>2511.3233333333333</v>
      </c>
    </row>
    <row r="56" spans="3:19">
      <c r="C56" s="4">
        <v>15012301</v>
      </c>
      <c r="D56" s="1" t="s">
        <v>323</v>
      </c>
      <c r="E56" s="31"/>
      <c r="F56" s="31"/>
      <c r="G56" s="31"/>
      <c r="H56" s="31">
        <v>294.60000000000002</v>
      </c>
      <c r="I56" s="31"/>
      <c r="J56" s="31"/>
      <c r="K56" s="31"/>
      <c r="L56" s="31"/>
      <c r="M56" s="31">
        <v>72</v>
      </c>
      <c r="N56" s="31">
        <v>225.95</v>
      </c>
      <c r="O56" s="31">
        <v>240.79</v>
      </c>
      <c r="P56" s="31">
        <v>72</v>
      </c>
      <c r="Q56" s="8">
        <f>+SUM(E56:P56)</f>
        <v>905.33999999999992</v>
      </c>
      <c r="R56" s="1">
        <f>COUNT(E56:P56)</f>
        <v>5</v>
      </c>
      <c r="S56" s="31">
        <f>+Q56/R56</f>
        <v>181.06799999999998</v>
      </c>
    </row>
    <row r="57" spans="3:19">
      <c r="C57" s="4">
        <v>15007129</v>
      </c>
      <c r="D57" s="1" t="s">
        <v>273</v>
      </c>
      <c r="E57" s="31">
        <v>9266.08</v>
      </c>
      <c r="F57" s="31">
        <v>6807.65</v>
      </c>
      <c r="G57" s="31">
        <v>5874.33</v>
      </c>
      <c r="H57" s="31">
        <v>8296.31</v>
      </c>
      <c r="I57" s="31">
        <v>7151.39</v>
      </c>
      <c r="J57" s="31">
        <v>6177.32</v>
      </c>
      <c r="K57" s="31">
        <v>6619.37</v>
      </c>
      <c r="L57" s="31">
        <v>7061.19</v>
      </c>
      <c r="M57" s="31">
        <v>7255.51</v>
      </c>
      <c r="N57" s="31">
        <v>8316.11</v>
      </c>
      <c r="O57" s="31">
        <v>6460.53</v>
      </c>
      <c r="P57" s="31">
        <v>7029.83</v>
      </c>
      <c r="Q57" s="8">
        <f t="shared" si="4"/>
        <v>86315.62000000001</v>
      </c>
      <c r="R57" s="1">
        <f t="shared" si="5"/>
        <v>12</v>
      </c>
      <c r="S57" s="31">
        <f t="shared" si="3"/>
        <v>7192.9683333333342</v>
      </c>
    </row>
    <row r="58" spans="3:19">
      <c r="C58" s="4">
        <v>15013110</v>
      </c>
      <c r="D58" s="1" t="s">
        <v>272</v>
      </c>
      <c r="E58" s="31"/>
      <c r="F58" s="31">
        <v>8583.58</v>
      </c>
      <c r="G58" s="31">
        <v>9729.2900000000009</v>
      </c>
      <c r="H58" s="31">
        <v>9423.67</v>
      </c>
      <c r="I58" s="31">
        <v>4940.63</v>
      </c>
      <c r="J58" s="31">
        <v>3984.89</v>
      </c>
      <c r="K58" s="31">
        <v>4708.79</v>
      </c>
      <c r="L58" s="31">
        <v>4804.38</v>
      </c>
      <c r="M58" s="31">
        <v>5054.71</v>
      </c>
      <c r="N58" s="31">
        <v>6374.81</v>
      </c>
      <c r="O58" s="31">
        <v>5466.01</v>
      </c>
      <c r="P58" s="31">
        <v>4530.33</v>
      </c>
      <c r="Q58" s="8">
        <f t="shared" si="4"/>
        <v>67601.09</v>
      </c>
      <c r="R58" s="1">
        <f t="shared" si="5"/>
        <v>11</v>
      </c>
      <c r="S58" s="31">
        <f t="shared" si="3"/>
        <v>6145.5536363636356</v>
      </c>
    </row>
    <row r="59" spans="3:19">
      <c r="C59" s="4">
        <v>70082</v>
      </c>
      <c r="D59" s="1" t="s">
        <v>276</v>
      </c>
      <c r="E59" s="31">
        <v>4131.95</v>
      </c>
      <c r="F59" s="31">
        <v>3600.25</v>
      </c>
      <c r="G59" s="31">
        <v>2984.19</v>
      </c>
      <c r="H59" s="31">
        <v>3475.33</v>
      </c>
      <c r="I59" s="31">
        <v>2525.2399999999998</v>
      </c>
      <c r="J59" s="31">
        <v>2601.2199999999998</v>
      </c>
      <c r="K59" s="31">
        <v>2712.12</v>
      </c>
      <c r="L59" s="31">
        <v>1991.12</v>
      </c>
      <c r="M59" s="31">
        <v>2335.9</v>
      </c>
      <c r="N59" s="31">
        <v>2120.79</v>
      </c>
      <c r="O59" s="31">
        <v>1973.51</v>
      </c>
      <c r="P59" s="31">
        <v>1328.01</v>
      </c>
      <c r="Q59" s="8">
        <f t="shared" si="4"/>
        <v>31779.629999999997</v>
      </c>
      <c r="R59" s="1">
        <f t="shared" si="5"/>
        <v>12</v>
      </c>
      <c r="S59" s="31">
        <f t="shared" ref="S59:S74" si="6">+Q59/R59</f>
        <v>2648.3024999999998</v>
      </c>
    </row>
    <row r="60" spans="3:19">
      <c r="C60" s="4">
        <v>7004001</v>
      </c>
      <c r="D60" s="1" t="s">
        <v>277</v>
      </c>
      <c r="E60" s="31">
        <v>14809.55</v>
      </c>
      <c r="F60" s="32">
        <v>15264.17</v>
      </c>
      <c r="G60" s="49">
        <v>15920.29</v>
      </c>
      <c r="H60" s="32">
        <v>14838.82</v>
      </c>
      <c r="I60" s="32">
        <v>11624.59</v>
      </c>
      <c r="J60" s="31">
        <v>7497.08</v>
      </c>
      <c r="K60" s="31">
        <v>9042.11</v>
      </c>
      <c r="L60" s="31">
        <v>10207.36</v>
      </c>
      <c r="M60" s="31">
        <v>13172.67</v>
      </c>
      <c r="N60" s="31">
        <v>13778.25</v>
      </c>
      <c r="O60" s="31">
        <v>12619.68</v>
      </c>
      <c r="P60" s="31">
        <v>12584.68</v>
      </c>
      <c r="Q60" s="8">
        <f t="shared" si="4"/>
        <v>151359.25</v>
      </c>
      <c r="R60" s="1">
        <f t="shared" si="5"/>
        <v>12</v>
      </c>
      <c r="S60" s="31">
        <f t="shared" si="6"/>
        <v>12613.270833333334</v>
      </c>
    </row>
    <row r="61" spans="3:19">
      <c r="C61" s="4">
        <v>15003405</v>
      </c>
      <c r="D61" s="1" t="s">
        <v>90</v>
      </c>
      <c r="E61" s="31">
        <v>17092.080000000002</v>
      </c>
      <c r="F61" s="31">
        <f>16553.02</f>
        <v>16553.02</v>
      </c>
      <c r="G61" s="31">
        <v>15915.24</v>
      </c>
      <c r="H61" s="31">
        <v>17068.22</v>
      </c>
      <c r="I61" s="31">
        <v>11452.66</v>
      </c>
      <c r="J61" s="31">
        <v>10025.469999999999</v>
      </c>
      <c r="K61" s="31">
        <v>10234.68</v>
      </c>
      <c r="L61" s="31">
        <v>10592.31</v>
      </c>
      <c r="M61" s="31">
        <v>10488.74</v>
      </c>
      <c r="N61" s="31">
        <v>12351.12</v>
      </c>
      <c r="O61" s="31">
        <v>12331.05</v>
      </c>
      <c r="P61" s="31">
        <v>15073.83</v>
      </c>
      <c r="Q61" s="8">
        <f t="shared" si="4"/>
        <v>159178.41999999998</v>
      </c>
      <c r="R61" s="1">
        <f t="shared" si="5"/>
        <v>12</v>
      </c>
      <c r="S61" s="31">
        <f t="shared" si="6"/>
        <v>13264.868333333332</v>
      </c>
    </row>
    <row r="62" spans="3:19">
      <c r="C62" s="4">
        <v>15005530</v>
      </c>
      <c r="D62" s="1" t="s">
        <v>278</v>
      </c>
      <c r="E62" s="31">
        <v>1163.53</v>
      </c>
      <c r="F62" s="31">
        <v>863.47</v>
      </c>
      <c r="G62" s="31">
        <v>1541.62</v>
      </c>
      <c r="H62" s="32">
        <v>1675.69</v>
      </c>
      <c r="I62" s="31">
        <v>951.26</v>
      </c>
      <c r="J62" s="31">
        <v>595.45000000000005</v>
      </c>
      <c r="K62" s="31">
        <v>873.23</v>
      </c>
      <c r="L62" s="31">
        <v>544.48</v>
      </c>
      <c r="M62" s="31">
        <v>744.1</v>
      </c>
      <c r="N62" s="31">
        <v>1388.75</v>
      </c>
      <c r="O62" s="31">
        <v>1085.1199999999999</v>
      </c>
      <c r="P62" s="31">
        <v>1095.99</v>
      </c>
      <c r="Q62" s="8">
        <f t="shared" si="4"/>
        <v>12522.69</v>
      </c>
      <c r="R62" s="1">
        <f t="shared" si="5"/>
        <v>12</v>
      </c>
      <c r="S62" s="31">
        <f t="shared" si="6"/>
        <v>1043.5575000000001</v>
      </c>
    </row>
    <row r="63" spans="3:19">
      <c r="C63" s="42">
        <v>70080</v>
      </c>
      <c r="D63" s="11" t="s">
        <v>280</v>
      </c>
      <c r="E63" s="31">
        <v>4368.21</v>
      </c>
      <c r="F63" s="31">
        <v>3674.89</v>
      </c>
      <c r="G63" s="31">
        <v>3337.09</v>
      </c>
      <c r="H63" s="31">
        <v>2964.91</v>
      </c>
      <c r="I63" s="31">
        <v>2044.97</v>
      </c>
      <c r="J63" s="31">
        <v>2890.8</v>
      </c>
      <c r="K63" s="31">
        <v>2885.52</v>
      </c>
      <c r="L63" s="31">
        <v>3264.87</v>
      </c>
      <c r="M63" s="31">
        <v>4768.57</v>
      </c>
      <c r="N63" s="31">
        <v>5585.86</v>
      </c>
      <c r="O63" s="31">
        <v>3366.14</v>
      </c>
      <c r="P63" s="31">
        <v>3360.84</v>
      </c>
      <c r="Q63" s="8">
        <f t="shared" ref="Q63:Q74" si="7">+SUM(E63:P63)</f>
        <v>42512.67</v>
      </c>
      <c r="R63" s="1">
        <f t="shared" ref="R63:R74" si="8">COUNT(E63:P63)</f>
        <v>12</v>
      </c>
      <c r="S63" s="31">
        <f t="shared" si="6"/>
        <v>3542.7224999999999</v>
      </c>
    </row>
    <row r="64" spans="3:19">
      <c r="C64" s="4">
        <v>70046</v>
      </c>
      <c r="D64" s="1" t="s">
        <v>281</v>
      </c>
      <c r="E64" s="31">
        <v>926.76</v>
      </c>
      <c r="F64" s="31">
        <v>792.66</v>
      </c>
      <c r="G64" s="31">
        <v>786.3</v>
      </c>
      <c r="H64" s="32">
        <v>794.4</v>
      </c>
      <c r="I64" s="31">
        <v>846.9</v>
      </c>
      <c r="J64" s="31">
        <v>863.16</v>
      </c>
      <c r="K64" s="31">
        <v>812.04</v>
      </c>
      <c r="L64" s="31">
        <v>709.92</v>
      </c>
      <c r="M64" s="35">
        <v>738.72</v>
      </c>
      <c r="N64" s="31">
        <v>774.54</v>
      </c>
      <c r="O64" s="31">
        <v>702.3</v>
      </c>
      <c r="P64" s="31">
        <v>807</v>
      </c>
      <c r="Q64" s="8">
        <f t="shared" si="7"/>
        <v>9554.7000000000007</v>
      </c>
      <c r="R64" s="1">
        <f t="shared" si="8"/>
        <v>12</v>
      </c>
      <c r="S64" s="31">
        <f t="shared" si="6"/>
        <v>796.22500000000002</v>
      </c>
    </row>
    <row r="65" spans="1:19">
      <c r="C65" s="4">
        <v>15003403</v>
      </c>
      <c r="D65" s="1" t="s">
        <v>91</v>
      </c>
      <c r="E65" s="31">
        <v>17835.98</v>
      </c>
      <c r="F65" s="32">
        <v>17237.830000000002</v>
      </c>
      <c r="G65" s="32">
        <v>18423.8</v>
      </c>
      <c r="H65" s="32">
        <v>19849.849999999999</v>
      </c>
      <c r="I65" s="32">
        <v>12990.13</v>
      </c>
      <c r="J65" s="31">
        <v>7265.11</v>
      </c>
      <c r="K65" s="31">
        <v>8342.7000000000007</v>
      </c>
      <c r="L65" s="31">
        <v>12325.16</v>
      </c>
      <c r="M65" s="31">
        <v>13516.5</v>
      </c>
      <c r="N65" s="31">
        <v>16099.94</v>
      </c>
      <c r="O65" s="31">
        <v>12126.66</v>
      </c>
      <c r="P65" s="31">
        <v>13419.58</v>
      </c>
      <c r="Q65" s="8">
        <f t="shared" si="7"/>
        <v>169433.24</v>
      </c>
      <c r="R65" s="1">
        <f t="shared" si="8"/>
        <v>12</v>
      </c>
      <c r="S65" s="31">
        <f t="shared" si="6"/>
        <v>14119.436666666666</v>
      </c>
    </row>
    <row r="66" spans="1:19">
      <c r="C66" s="4">
        <v>70054</v>
      </c>
      <c r="D66" s="1" t="s">
        <v>282</v>
      </c>
      <c r="E66" s="31">
        <v>8409.5400000000009</v>
      </c>
      <c r="F66" s="31">
        <v>4512.6899999999996</v>
      </c>
      <c r="G66" s="31">
        <v>9593.7000000000007</v>
      </c>
      <c r="H66" s="31">
        <v>9379.56</v>
      </c>
      <c r="I66" s="31">
        <v>4016.34</v>
      </c>
      <c r="J66" s="49" t="s">
        <v>324</v>
      </c>
      <c r="K66" s="49" t="s">
        <v>324</v>
      </c>
      <c r="L66" s="49" t="s">
        <v>324</v>
      </c>
      <c r="M66" s="49" t="s">
        <v>324</v>
      </c>
      <c r="N66" s="49" t="s">
        <v>324</v>
      </c>
      <c r="O66" s="49" t="s">
        <v>324</v>
      </c>
      <c r="P66" s="49" t="s">
        <v>324</v>
      </c>
      <c r="Q66" s="8">
        <f t="shared" si="7"/>
        <v>35911.83</v>
      </c>
      <c r="R66" s="1">
        <f t="shared" si="8"/>
        <v>5</v>
      </c>
      <c r="S66" s="31">
        <f t="shared" si="6"/>
        <v>7182.366</v>
      </c>
    </row>
    <row r="67" spans="1:19">
      <c r="C67" s="4">
        <v>70048</v>
      </c>
      <c r="D67" s="1" t="s">
        <v>283</v>
      </c>
      <c r="E67" s="31">
        <v>3047.09</v>
      </c>
      <c r="F67" s="31">
        <v>3355.59</v>
      </c>
      <c r="G67" s="32">
        <v>3230.23</v>
      </c>
      <c r="H67" s="32">
        <v>2816.11</v>
      </c>
      <c r="I67" s="31">
        <v>2619.4499999999998</v>
      </c>
      <c r="J67" s="31">
        <v>2334.4</v>
      </c>
      <c r="K67" s="31">
        <v>2395.9499999999998</v>
      </c>
      <c r="L67" s="31">
        <v>2589.9499999999998</v>
      </c>
      <c r="M67" s="31">
        <v>3516.08</v>
      </c>
      <c r="N67" s="31">
        <v>3050.94</v>
      </c>
      <c r="O67" s="31">
        <v>2565.0100000000002</v>
      </c>
      <c r="P67" s="31">
        <v>2144.7199999999998</v>
      </c>
      <c r="Q67" s="8">
        <f t="shared" si="7"/>
        <v>33665.520000000004</v>
      </c>
      <c r="R67" s="1">
        <f t="shared" si="8"/>
        <v>12</v>
      </c>
      <c r="S67" s="31">
        <f t="shared" si="6"/>
        <v>2805.4600000000005</v>
      </c>
    </row>
    <row r="68" spans="1:19">
      <c r="C68" s="4">
        <v>70052</v>
      </c>
      <c r="D68" s="1" t="s">
        <v>284</v>
      </c>
      <c r="E68" s="31">
        <v>4539.1400000000003</v>
      </c>
      <c r="F68" s="31">
        <v>4264.99</v>
      </c>
      <c r="G68" s="31">
        <v>4722.5200000000004</v>
      </c>
      <c r="H68" s="31">
        <v>4726.1000000000004</v>
      </c>
      <c r="I68" s="31">
        <v>3812.88</v>
      </c>
      <c r="J68" s="31">
        <v>2323.25</v>
      </c>
      <c r="K68" s="31">
        <v>3251.9</v>
      </c>
      <c r="L68" s="31">
        <v>3074.43</v>
      </c>
      <c r="M68" s="31">
        <v>3775.83</v>
      </c>
      <c r="N68" s="31">
        <v>4065.74</v>
      </c>
      <c r="O68" s="31">
        <v>4023.29</v>
      </c>
      <c r="P68" s="31">
        <v>3837.45</v>
      </c>
      <c r="Q68" s="8">
        <f t="shared" si="7"/>
        <v>46417.52</v>
      </c>
      <c r="R68" s="1">
        <f t="shared" si="8"/>
        <v>12</v>
      </c>
      <c r="S68" s="31">
        <f t="shared" si="6"/>
        <v>3868.1266666666666</v>
      </c>
    </row>
    <row r="69" spans="1:19">
      <c r="C69" s="4">
        <v>70049</v>
      </c>
      <c r="D69" s="1" t="s">
        <v>285</v>
      </c>
      <c r="E69" s="31">
        <v>338.66</v>
      </c>
      <c r="F69" s="31">
        <v>423.75</v>
      </c>
      <c r="G69" s="31">
        <v>375</v>
      </c>
      <c r="H69" s="32">
        <v>226.88</v>
      </c>
      <c r="I69" s="31">
        <v>286.88</v>
      </c>
      <c r="J69" s="31">
        <v>208.13</v>
      </c>
      <c r="K69" s="31">
        <v>197.95</v>
      </c>
      <c r="L69" s="31">
        <v>138.75</v>
      </c>
      <c r="M69" s="31">
        <v>139.82</v>
      </c>
      <c r="N69" s="31">
        <v>0</v>
      </c>
      <c r="O69" s="31">
        <v>0</v>
      </c>
      <c r="P69" s="31">
        <v>0</v>
      </c>
      <c r="Q69" s="8">
        <f t="shared" si="7"/>
        <v>2335.8200000000002</v>
      </c>
      <c r="R69" s="1">
        <f t="shared" si="8"/>
        <v>12</v>
      </c>
      <c r="S69" s="31">
        <f t="shared" si="6"/>
        <v>194.65166666666667</v>
      </c>
    </row>
    <row r="70" spans="1:19">
      <c r="C70" s="4">
        <v>70071</v>
      </c>
      <c r="D70" s="1" t="s">
        <v>286</v>
      </c>
      <c r="E70" s="31">
        <v>288.42</v>
      </c>
      <c r="F70" s="31">
        <v>162.30000000000001</v>
      </c>
      <c r="G70" s="31">
        <v>913.02</v>
      </c>
      <c r="H70" s="31">
        <v>1061.3399999999999</v>
      </c>
      <c r="I70" s="31">
        <v>468.42</v>
      </c>
      <c r="J70" s="31">
        <v>144.41999999999999</v>
      </c>
      <c r="K70" s="31">
        <v>173.88</v>
      </c>
      <c r="L70" s="31">
        <v>82.62</v>
      </c>
      <c r="M70" s="31">
        <v>61.74</v>
      </c>
      <c r="N70" s="31">
        <v>905.76</v>
      </c>
      <c r="O70" s="31">
        <v>519.84</v>
      </c>
      <c r="P70" s="31">
        <v>303.01</v>
      </c>
      <c r="Q70" s="8">
        <f t="shared" si="7"/>
        <v>5084.7700000000004</v>
      </c>
      <c r="R70" s="1">
        <f t="shared" si="8"/>
        <v>12</v>
      </c>
      <c r="S70" s="31">
        <f t="shared" si="6"/>
        <v>423.73083333333335</v>
      </c>
    </row>
    <row r="71" spans="1:19">
      <c r="C71" s="4">
        <v>70098</v>
      </c>
      <c r="D71" s="1" t="s">
        <v>113</v>
      </c>
      <c r="E71" s="31">
        <v>371.14</v>
      </c>
      <c r="F71" s="31">
        <v>224.14</v>
      </c>
      <c r="G71" s="31">
        <v>67.5</v>
      </c>
      <c r="H71" s="31">
        <v>108</v>
      </c>
      <c r="I71" s="31">
        <v>84</v>
      </c>
      <c r="J71" s="31">
        <v>138</v>
      </c>
      <c r="K71" s="31">
        <v>60</v>
      </c>
      <c r="L71" s="31">
        <v>231.86</v>
      </c>
      <c r="M71" s="31">
        <v>58.84</v>
      </c>
      <c r="N71" s="31">
        <v>167.29</v>
      </c>
      <c r="O71" s="31">
        <v>99.86</v>
      </c>
      <c r="P71" s="31">
        <v>261.43</v>
      </c>
      <c r="Q71" s="8">
        <f t="shared" si="7"/>
        <v>1872.0599999999997</v>
      </c>
      <c r="R71" s="1">
        <f t="shared" si="8"/>
        <v>12</v>
      </c>
      <c r="S71" s="31">
        <f t="shared" si="6"/>
        <v>156.00499999999997</v>
      </c>
    </row>
    <row r="72" spans="1:19">
      <c r="C72" s="4">
        <v>70001</v>
      </c>
      <c r="D72" s="1" t="s">
        <v>287</v>
      </c>
      <c r="E72" s="31">
        <v>32319</v>
      </c>
      <c r="F72" s="31">
        <v>25437.7</v>
      </c>
      <c r="G72" s="31">
        <v>36688.86</v>
      </c>
      <c r="H72" s="31">
        <v>35429.47</v>
      </c>
      <c r="I72" s="31">
        <v>21291.83</v>
      </c>
      <c r="J72" s="31">
        <v>14637.46</v>
      </c>
      <c r="K72" s="55">
        <f>1698.82+13339.74</f>
        <v>15038.56</v>
      </c>
      <c r="L72" s="87">
        <v>15038.56</v>
      </c>
      <c r="M72" s="93">
        <v>15038.56</v>
      </c>
      <c r="N72" s="96">
        <v>15000</v>
      </c>
      <c r="O72" s="31">
        <v>16451.02</v>
      </c>
      <c r="P72" s="87">
        <v>19161.87</v>
      </c>
      <c r="Q72" s="8">
        <f t="shared" si="7"/>
        <v>261532.88999999996</v>
      </c>
      <c r="R72" s="1">
        <f t="shared" si="8"/>
        <v>12</v>
      </c>
      <c r="S72" s="31">
        <f t="shared" si="6"/>
        <v>21794.407499999998</v>
      </c>
    </row>
    <row r="73" spans="1:19">
      <c r="C73" s="42">
        <v>7007701</v>
      </c>
      <c r="D73" s="11" t="s">
        <v>98</v>
      </c>
      <c r="E73" s="31">
        <v>7949.81</v>
      </c>
      <c r="F73" s="32">
        <v>6079.37</v>
      </c>
      <c r="G73" s="32">
        <v>7409.98</v>
      </c>
      <c r="H73" s="32">
        <v>9038.36</v>
      </c>
      <c r="I73" s="32">
        <v>6529.06</v>
      </c>
      <c r="J73" s="31">
        <v>3838.46</v>
      </c>
      <c r="K73" s="31">
        <v>5708.29</v>
      </c>
      <c r="L73" s="31">
        <v>5923.27</v>
      </c>
      <c r="M73" s="31">
        <v>6768.22</v>
      </c>
      <c r="N73" s="31">
        <v>8123.77</v>
      </c>
      <c r="O73" s="31">
        <v>6882.86</v>
      </c>
      <c r="P73" s="31">
        <v>6223.42</v>
      </c>
      <c r="Q73" s="8">
        <f t="shared" si="7"/>
        <v>80474.87000000001</v>
      </c>
      <c r="R73" s="1">
        <f t="shared" si="8"/>
        <v>12</v>
      </c>
      <c r="S73" s="31">
        <f t="shared" si="6"/>
        <v>6706.2391666666672</v>
      </c>
    </row>
    <row r="74" spans="1:19">
      <c r="A74" s="22"/>
      <c r="B74" s="22"/>
      <c r="C74" s="51">
        <v>70094</v>
      </c>
      <c r="D74" s="52" t="s">
        <v>95</v>
      </c>
      <c r="E74" s="34">
        <v>305.5</v>
      </c>
      <c r="F74" s="34">
        <v>458.94</v>
      </c>
      <c r="G74" s="34">
        <v>510.96</v>
      </c>
      <c r="H74" s="34">
        <v>343.8</v>
      </c>
      <c r="I74" s="34">
        <v>270.08999999999997</v>
      </c>
      <c r="J74" s="34">
        <v>430.2</v>
      </c>
      <c r="K74" s="34">
        <v>120.36</v>
      </c>
      <c r="L74" s="34">
        <v>51.18</v>
      </c>
      <c r="M74" s="34">
        <v>273.55</v>
      </c>
      <c r="N74" s="34">
        <v>278.33999999999997</v>
      </c>
      <c r="O74" s="34">
        <v>91.56</v>
      </c>
      <c r="P74" s="34">
        <v>263.10000000000002</v>
      </c>
      <c r="Q74" s="33">
        <f t="shared" si="7"/>
        <v>3397.58</v>
      </c>
      <c r="R74" s="22">
        <f t="shared" si="8"/>
        <v>12</v>
      </c>
      <c r="S74" s="34">
        <f t="shared" si="6"/>
        <v>283.13166666666666</v>
      </c>
    </row>
    <row r="75" spans="1:19">
      <c r="E75" s="31"/>
      <c r="F75" s="31"/>
      <c r="G75" s="31"/>
      <c r="H75" s="31"/>
      <c r="I75" s="31"/>
      <c r="J75" s="31"/>
      <c r="K75" s="31"/>
    </row>
    <row r="76" spans="1:19">
      <c r="D76" s="1" t="s">
        <v>140</v>
      </c>
      <c r="E76" s="31">
        <f t="shared" ref="E76:O76" si="9">SUM(E3:E74)</f>
        <v>756944</v>
      </c>
      <c r="F76" s="31">
        <f t="shared" si="9"/>
        <v>658542.46999999974</v>
      </c>
      <c r="G76" s="31">
        <f t="shared" si="9"/>
        <v>800292.30999999982</v>
      </c>
      <c r="H76" s="31">
        <f t="shared" si="9"/>
        <v>790308.31999999972</v>
      </c>
      <c r="I76" s="31">
        <f t="shared" si="9"/>
        <v>523684.09000000008</v>
      </c>
      <c r="J76" s="31">
        <f t="shared" si="9"/>
        <v>378223.03</v>
      </c>
      <c r="K76" s="31">
        <f t="shared" si="9"/>
        <v>415260.63000000006</v>
      </c>
      <c r="L76" s="31">
        <f t="shared" si="9"/>
        <v>456063.28</v>
      </c>
      <c r="M76" s="31">
        <f t="shared" si="9"/>
        <v>550862.58999999985</v>
      </c>
      <c r="N76" s="31">
        <f t="shared" si="9"/>
        <v>693715.02</v>
      </c>
      <c r="O76" s="31">
        <f t="shared" si="9"/>
        <v>604765.9800000001</v>
      </c>
      <c r="P76" s="31">
        <f>SUM(P2:P74)</f>
        <v>571969.97999999986</v>
      </c>
      <c r="Q76" s="31">
        <f>SUM(Q3:Q74)</f>
        <v>7200610.7000000002</v>
      </c>
      <c r="S76" s="31">
        <f>+Q76/10</f>
        <v>720061.07000000007</v>
      </c>
    </row>
    <row r="77" spans="1:19">
      <c r="E77" s="68"/>
      <c r="F77" s="68"/>
      <c r="G77" s="68"/>
      <c r="H77" s="70"/>
      <c r="J77" s="8"/>
      <c r="L77" s="31"/>
      <c r="M77" s="31"/>
      <c r="N77" s="31"/>
      <c r="O77" s="31"/>
    </row>
    <row r="78" spans="1:19" hidden="1">
      <c r="E78" s="69"/>
      <c r="F78" s="70"/>
      <c r="G78" s="8"/>
      <c r="L78" s="8"/>
      <c r="M78" s="8"/>
      <c r="N78" s="8"/>
      <c r="O78" s="8"/>
    </row>
    <row r="79" spans="1:19" hidden="1">
      <c r="D79" s="1" t="s">
        <v>301</v>
      </c>
      <c r="E79" s="69">
        <f t="shared" ref="E79:J79" si="10">+E76-E77+E78</f>
        <v>756944</v>
      </c>
      <c r="F79" s="69">
        <f t="shared" si="10"/>
        <v>658542.46999999974</v>
      </c>
      <c r="G79" s="69">
        <f t="shared" si="10"/>
        <v>800292.30999999982</v>
      </c>
      <c r="H79" s="69">
        <f t="shared" si="10"/>
        <v>790308.31999999972</v>
      </c>
      <c r="I79" s="69">
        <f t="shared" si="10"/>
        <v>523684.09000000008</v>
      </c>
      <c r="J79" s="69">
        <f t="shared" si="10"/>
        <v>378223.03</v>
      </c>
      <c r="K79" s="69">
        <f>+K76-K77+K78</f>
        <v>415260.63000000006</v>
      </c>
      <c r="L79" s="69">
        <f>+L76-L77+L78</f>
        <v>456063.28</v>
      </c>
      <c r="M79" s="69">
        <f>+M76</f>
        <v>550862.58999999985</v>
      </c>
      <c r="N79" s="69">
        <f>+N76</f>
        <v>693715.02</v>
      </c>
      <c r="O79" s="69">
        <f>+O76</f>
        <v>604765.9800000001</v>
      </c>
      <c r="P79" s="69">
        <f>+P76+L31+N3+O3+O4+N5+N28</f>
        <v>617488.17999999982</v>
      </c>
    </row>
    <row r="80" spans="1:19" hidden="1">
      <c r="D80" s="67" t="s">
        <v>304</v>
      </c>
      <c r="E80" s="68">
        <f t="shared" ref="E80:P80" si="11">+E79/6*4</f>
        <v>504629.33333333331</v>
      </c>
      <c r="F80" s="68">
        <f t="shared" si="11"/>
        <v>439028.31333333318</v>
      </c>
      <c r="G80" s="68">
        <f t="shared" si="11"/>
        <v>533528.20666666655</v>
      </c>
      <c r="H80" s="68">
        <f t="shared" si="11"/>
        <v>526872.21333333314</v>
      </c>
      <c r="I80" s="68">
        <f t="shared" si="11"/>
        <v>349122.72666666674</v>
      </c>
      <c r="J80" s="68">
        <f t="shared" si="11"/>
        <v>252148.68666666668</v>
      </c>
      <c r="K80" s="68">
        <f t="shared" si="11"/>
        <v>276840.42000000004</v>
      </c>
      <c r="L80" s="68">
        <f t="shared" si="11"/>
        <v>304042.1866666667</v>
      </c>
      <c r="M80" s="68">
        <f t="shared" si="11"/>
        <v>367241.72666666657</v>
      </c>
      <c r="N80" s="68">
        <f t="shared" si="11"/>
        <v>462476.68</v>
      </c>
      <c r="O80" s="68">
        <f t="shared" si="11"/>
        <v>403177.32000000007</v>
      </c>
      <c r="P80" s="68">
        <f t="shared" si="11"/>
        <v>411658.78666666656</v>
      </c>
    </row>
    <row r="81" spans="3:17" hidden="1">
      <c r="D81" s="67" t="s">
        <v>305</v>
      </c>
      <c r="E81" s="68">
        <f t="shared" ref="E81:J81" si="12">+E79/6*2</f>
        <v>252314.66666666666</v>
      </c>
      <c r="F81" s="68">
        <f t="shared" si="12"/>
        <v>219514.15666666659</v>
      </c>
      <c r="G81" s="68">
        <f t="shared" si="12"/>
        <v>266764.10333333327</v>
      </c>
      <c r="H81" s="68">
        <f t="shared" si="12"/>
        <v>263436.10666666657</v>
      </c>
      <c r="I81" s="68">
        <f t="shared" si="12"/>
        <v>174561.36333333337</v>
      </c>
      <c r="J81" s="68">
        <f t="shared" si="12"/>
        <v>126074.34333333334</v>
      </c>
      <c r="K81" s="68">
        <f t="shared" ref="K81:P81" si="13">+K79/6*2</f>
        <v>138420.21000000002</v>
      </c>
      <c r="L81" s="68">
        <f t="shared" si="13"/>
        <v>152021.09333333335</v>
      </c>
      <c r="M81" s="68">
        <f t="shared" si="13"/>
        <v>183620.86333333328</v>
      </c>
      <c r="N81" s="68">
        <f t="shared" si="13"/>
        <v>231238.34</v>
      </c>
      <c r="O81" s="68">
        <f t="shared" si="13"/>
        <v>201588.66000000003</v>
      </c>
      <c r="P81" s="68">
        <f t="shared" si="13"/>
        <v>205829.39333333328</v>
      </c>
    </row>
    <row r="82" spans="3:17" hidden="1">
      <c r="D82" s="1" t="s">
        <v>302</v>
      </c>
      <c r="E82" s="68">
        <f t="shared" ref="E82:P82" si="14">+E81*0.01</f>
        <v>2523.1466666666665</v>
      </c>
      <c r="F82" s="68">
        <f t="shared" si="14"/>
        <v>2195.1415666666658</v>
      </c>
      <c r="G82" s="68">
        <f t="shared" si="14"/>
        <v>2667.6410333333329</v>
      </c>
      <c r="H82" s="68">
        <f t="shared" si="14"/>
        <v>2634.3610666666659</v>
      </c>
      <c r="I82" s="68">
        <f t="shared" si="14"/>
        <v>1745.6136333333338</v>
      </c>
      <c r="J82" s="68">
        <f t="shared" si="14"/>
        <v>1260.7434333333333</v>
      </c>
      <c r="K82" s="68">
        <f t="shared" si="14"/>
        <v>1384.2021000000002</v>
      </c>
      <c r="L82" s="68">
        <f t="shared" si="14"/>
        <v>1520.2109333333335</v>
      </c>
      <c r="M82" s="68">
        <f t="shared" si="14"/>
        <v>1836.208633333333</v>
      </c>
      <c r="N82" s="68">
        <f t="shared" si="14"/>
        <v>2312.3834000000002</v>
      </c>
      <c r="O82" s="68">
        <f t="shared" si="14"/>
        <v>2015.8866000000003</v>
      </c>
      <c r="P82" s="68">
        <f t="shared" si="14"/>
        <v>2058.2939333333329</v>
      </c>
    </row>
    <row r="83" spans="3:17" hidden="1">
      <c r="D83" s="1" t="s">
        <v>303</v>
      </c>
      <c r="E83" s="71">
        <f t="shared" ref="E83:L83" si="15">+E80-E82</f>
        <v>502106.18666666665</v>
      </c>
      <c r="F83" s="71">
        <f t="shared" si="15"/>
        <v>436833.17176666652</v>
      </c>
      <c r="G83" s="71">
        <f t="shared" si="15"/>
        <v>530860.56563333317</v>
      </c>
      <c r="H83" s="71">
        <f t="shared" si="15"/>
        <v>524237.85226666648</v>
      </c>
      <c r="I83" s="71">
        <f t="shared" si="15"/>
        <v>347377.11303333339</v>
      </c>
      <c r="J83" s="71">
        <f t="shared" si="15"/>
        <v>250887.94323333335</v>
      </c>
      <c r="K83" s="71">
        <f t="shared" si="15"/>
        <v>275456.21790000005</v>
      </c>
      <c r="L83" s="71">
        <f t="shared" si="15"/>
        <v>302521.97573333338</v>
      </c>
      <c r="M83" s="71">
        <f>+M80-M82</f>
        <v>365405.51803333324</v>
      </c>
      <c r="N83" s="71">
        <f>+N80-N82</f>
        <v>460164.2966</v>
      </c>
      <c r="O83" s="71">
        <f>+O80-O82</f>
        <v>401161.43340000004</v>
      </c>
      <c r="P83" s="71">
        <f>+P80-P82</f>
        <v>409600.49273333326</v>
      </c>
    </row>
    <row r="84" spans="3:17" hidden="1"/>
    <row r="85" spans="3:17" hidden="1">
      <c r="E85" s="70">
        <f>+SUM(E81:E83)</f>
        <v>756944</v>
      </c>
      <c r="F85" s="70">
        <f>+SUM(F81:F83)</f>
        <v>658542.46999999974</v>
      </c>
      <c r="G85" s="70">
        <f>+SUM(G81:G83)</f>
        <v>800292.30999999982</v>
      </c>
      <c r="H85" s="8">
        <f t="shared" ref="H85:P85" si="16">+H76+G42+G48+G54</f>
        <v>800471.38999999966</v>
      </c>
      <c r="I85" s="8">
        <f t="shared" si="16"/>
        <v>536134.99000000011</v>
      </c>
      <c r="J85" s="8">
        <f t="shared" si="16"/>
        <v>385746.23000000004</v>
      </c>
      <c r="K85" s="8">
        <f t="shared" si="16"/>
        <v>422701.43000000011</v>
      </c>
      <c r="L85" s="8">
        <f t="shared" si="16"/>
        <v>463979.59000000008</v>
      </c>
      <c r="M85" s="8">
        <f t="shared" si="16"/>
        <v>558483.42999999982</v>
      </c>
      <c r="N85" s="8">
        <f t="shared" si="16"/>
        <v>703395.34</v>
      </c>
      <c r="O85" s="8">
        <f t="shared" si="16"/>
        <v>617947.19000000006</v>
      </c>
      <c r="P85" s="8">
        <f t="shared" si="16"/>
        <v>584316.14999999979</v>
      </c>
    </row>
    <row r="86" spans="3:17" hidden="1"/>
    <row r="87" spans="3:17" hidden="1">
      <c r="M87" s="8"/>
      <c r="N87" s="81" t="s">
        <v>327</v>
      </c>
      <c r="O87" s="68">
        <v>7514</v>
      </c>
    </row>
    <row r="88" spans="3:17" hidden="1">
      <c r="K88" s="8"/>
      <c r="L88" s="8"/>
      <c r="M88" s="8"/>
      <c r="N88" s="81" t="s">
        <v>328</v>
      </c>
      <c r="O88" s="68">
        <v>11274.63</v>
      </c>
    </row>
    <row r="89" spans="3:17" hidden="1">
      <c r="K89" s="8"/>
      <c r="N89" s="82"/>
    </row>
    <row r="90" spans="3:17" s="137" customFormat="1">
      <c r="C90" s="137" t="s">
        <v>390</v>
      </c>
      <c r="E90" s="137">
        <v>12885191</v>
      </c>
      <c r="F90" s="137">
        <v>12248463</v>
      </c>
      <c r="G90" s="137">
        <v>14134349</v>
      </c>
      <c r="H90" s="137">
        <v>14284868</v>
      </c>
      <c r="I90" s="137">
        <v>9262561</v>
      </c>
      <c r="J90" s="137">
        <v>6790839</v>
      </c>
      <c r="K90" s="137">
        <v>7566217</v>
      </c>
      <c r="L90" s="137">
        <v>8306345</v>
      </c>
      <c r="M90" s="137">
        <v>9954612</v>
      </c>
      <c r="N90" s="137">
        <v>13030006</v>
      </c>
      <c r="O90" s="137">
        <v>10692552</v>
      </c>
      <c r="P90" s="137">
        <v>10590527</v>
      </c>
      <c r="Q90" s="137">
        <f>+SUM(E90:P90)</f>
        <v>129746530</v>
      </c>
    </row>
    <row r="91" spans="3:17" s="137" customFormat="1">
      <c r="C91" s="137" t="s">
        <v>389</v>
      </c>
      <c r="E91" s="137">
        <f>+E90*0.06</f>
        <v>773111.46</v>
      </c>
      <c r="F91" s="137">
        <f t="shared" ref="F91:Q91" si="17">+F90*0.06</f>
        <v>734907.78</v>
      </c>
      <c r="G91" s="137">
        <f t="shared" si="17"/>
        <v>848060.94</v>
      </c>
      <c r="H91" s="137">
        <f t="shared" si="17"/>
        <v>857092.08</v>
      </c>
      <c r="I91" s="137">
        <f t="shared" si="17"/>
        <v>555753.66</v>
      </c>
      <c r="J91" s="137">
        <f t="shared" si="17"/>
        <v>407450.33999999997</v>
      </c>
      <c r="K91" s="137">
        <f t="shared" si="17"/>
        <v>453973.01999999996</v>
      </c>
      <c r="L91" s="137">
        <f t="shared" si="17"/>
        <v>498380.69999999995</v>
      </c>
      <c r="M91" s="137">
        <f t="shared" si="17"/>
        <v>597276.72</v>
      </c>
      <c r="N91" s="137">
        <f t="shared" si="17"/>
        <v>781800.36</v>
      </c>
      <c r="O91" s="137">
        <f t="shared" si="17"/>
        <v>641553.12</v>
      </c>
      <c r="P91" s="137">
        <f t="shared" si="17"/>
        <v>635431.62</v>
      </c>
      <c r="Q91" s="137">
        <f t="shared" si="17"/>
        <v>7784791.7999999998</v>
      </c>
    </row>
    <row r="92" spans="3:17" s="137" customFormat="1">
      <c r="C92" s="137" t="s">
        <v>391</v>
      </c>
      <c r="E92" s="137">
        <f>+E76-E91</f>
        <v>-16167.459999999963</v>
      </c>
      <c r="F92" s="137">
        <f t="shared" ref="F92:Q92" si="18">+F76-F91</f>
        <v>-76365.310000000289</v>
      </c>
      <c r="G92" s="137">
        <f t="shared" si="18"/>
        <v>-47768.630000000121</v>
      </c>
      <c r="H92" s="137">
        <f t="shared" si="18"/>
        <v>-66783.760000000242</v>
      </c>
      <c r="I92" s="137">
        <f t="shared" si="18"/>
        <v>-32069.569999999949</v>
      </c>
      <c r="J92" s="137">
        <f t="shared" si="18"/>
        <v>-29227.309999999939</v>
      </c>
      <c r="K92" s="137">
        <f t="shared" si="18"/>
        <v>-38712.389999999898</v>
      </c>
      <c r="L92" s="137">
        <f t="shared" si="18"/>
        <v>-42317.419999999925</v>
      </c>
      <c r="M92" s="137">
        <f t="shared" si="18"/>
        <v>-46414.130000000121</v>
      </c>
      <c r="N92" s="137">
        <f t="shared" si="18"/>
        <v>-88085.339999999967</v>
      </c>
      <c r="O92" s="137">
        <f t="shared" si="18"/>
        <v>-36787.139999999898</v>
      </c>
      <c r="P92" s="137">
        <f t="shared" si="18"/>
        <v>-63461.64000000013</v>
      </c>
      <c r="Q92" s="137">
        <f t="shared" si="18"/>
        <v>-584181.09999999963</v>
      </c>
    </row>
    <row r="93" spans="3:17" s="78" customFormat="1">
      <c r="C93" s="78" t="s">
        <v>392</v>
      </c>
      <c r="E93" s="78">
        <f>+E92/E91</f>
        <v>-2.0912198093661634E-2</v>
      </c>
      <c r="F93" s="78">
        <f t="shared" ref="F93:Q93" si="19">+F92/F91</f>
        <v>-0.10391141865446069</v>
      </c>
      <c r="G93" s="78">
        <f t="shared" si="19"/>
        <v>-5.6326883773234651E-2</v>
      </c>
      <c r="H93" s="78">
        <f t="shared" si="19"/>
        <v>-7.791900258838029E-2</v>
      </c>
      <c r="I93" s="78">
        <f t="shared" si="19"/>
        <v>-5.7704649214545788E-2</v>
      </c>
      <c r="J93" s="78">
        <f t="shared" si="19"/>
        <v>-7.1732201769668283E-2</v>
      </c>
      <c r="K93" s="78">
        <f t="shared" si="19"/>
        <v>-8.5274649141043449E-2</v>
      </c>
      <c r="L93" s="78">
        <f t="shared" si="19"/>
        <v>-8.4909828972108928E-2</v>
      </c>
      <c r="M93" s="78">
        <f t="shared" si="19"/>
        <v>-7.7709591627813865E-2</v>
      </c>
      <c r="N93" s="78">
        <f t="shared" si="19"/>
        <v>-0.1126698636976836</v>
      </c>
      <c r="O93" s="78">
        <f t="shared" si="19"/>
        <v>-5.7340754573837777E-2</v>
      </c>
      <c r="P93" s="78">
        <f t="shared" si="19"/>
        <v>-9.9871706101122462E-2</v>
      </c>
      <c r="Q93" s="78">
        <f t="shared" si="19"/>
        <v>-7.5041326089157534E-2</v>
      </c>
    </row>
  </sheetData>
  <phoneticPr fontId="3" type="noConversion"/>
  <printOptions horizontalCentered="1"/>
  <pageMargins left="0.25" right="0.25" top="0.5" bottom="0.25" header="0.25" footer="0.25"/>
  <pageSetup scale="64" orientation="landscape" r:id="rId1"/>
  <headerFooter alignWithMargins="0">
    <oddHeader>&amp;C&amp;"Arial,Bold"&amp;11Occupancy Tax Receipts
Fiscal Year 2009</oddHead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T91"/>
  <sheetViews>
    <sheetView zoomScale="125" workbookViewId="0">
      <pane xSplit="5" ySplit="1" topLeftCell="F2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9.08984375" defaultRowHeight="10"/>
  <cols>
    <col min="1" max="1" width="2.54296875" style="1" customWidth="1"/>
    <col min="2" max="2" width="9.08984375" style="1"/>
    <col min="3" max="3" width="7.90625" style="1" bestFit="1" customWidth="1"/>
    <col min="4" max="4" width="7.90625" style="1" customWidth="1"/>
    <col min="5" max="5" width="32.08984375" style="1" bestFit="1" customWidth="1"/>
    <col min="6" max="6" width="12" style="1" bestFit="1" customWidth="1"/>
    <col min="7" max="7" width="10.6328125" style="1" bestFit="1" customWidth="1"/>
    <col min="8" max="17" width="10.6328125" style="1" customWidth="1"/>
    <col min="18" max="18" width="12" style="1" customWidth="1"/>
    <col min="19" max="19" width="9.08984375" style="1"/>
    <col min="20" max="20" width="10.6328125" style="1" customWidth="1"/>
    <col min="21" max="16384" width="9.08984375" style="1"/>
  </cols>
  <sheetData>
    <row r="1" spans="2:20" s="17" customFormat="1" ht="21">
      <c r="B1" s="17" t="s">
        <v>523</v>
      </c>
      <c r="C1" s="14" t="s">
        <v>82</v>
      </c>
      <c r="D1" s="20" t="s">
        <v>345</v>
      </c>
      <c r="E1" s="15" t="s">
        <v>0</v>
      </c>
      <c r="F1" s="89" t="s">
        <v>338</v>
      </c>
      <c r="G1" s="88" t="s">
        <v>339</v>
      </c>
      <c r="H1" s="92" t="s">
        <v>340</v>
      </c>
      <c r="I1" s="95" t="s">
        <v>341</v>
      </c>
      <c r="J1" s="98" t="s">
        <v>342</v>
      </c>
      <c r="K1" s="102" t="s">
        <v>343</v>
      </c>
      <c r="L1" s="104" t="s">
        <v>332</v>
      </c>
      <c r="M1" s="109" t="s">
        <v>333</v>
      </c>
      <c r="N1" s="110" t="s">
        <v>334</v>
      </c>
      <c r="O1" s="131" t="s">
        <v>335</v>
      </c>
      <c r="P1" s="62" t="s">
        <v>336</v>
      </c>
      <c r="Q1" s="62" t="s">
        <v>337</v>
      </c>
      <c r="R1" s="64" t="s">
        <v>143</v>
      </c>
      <c r="S1" s="64"/>
      <c r="T1" s="64" t="s">
        <v>142</v>
      </c>
    </row>
    <row r="2" spans="2:20" s="17" customFormat="1" ht="10.5">
      <c r="B2" s="1" t="s">
        <v>531</v>
      </c>
      <c r="C2" s="4">
        <v>15002216</v>
      </c>
      <c r="D2" s="4"/>
      <c r="E2" s="1" t="s">
        <v>329</v>
      </c>
      <c r="F2" s="115"/>
      <c r="G2" s="117"/>
      <c r="H2" s="118"/>
      <c r="I2" s="121"/>
      <c r="J2" s="122"/>
      <c r="K2" s="125"/>
      <c r="L2" s="126"/>
      <c r="M2" s="129"/>
      <c r="N2" s="111">
        <v>28.62</v>
      </c>
      <c r="O2" s="132">
        <v>91.8</v>
      </c>
      <c r="P2" s="136"/>
      <c r="Q2" s="119"/>
      <c r="R2" s="8">
        <f t="shared" ref="R2:R34" si="0">+SUM(F2:Q2)</f>
        <v>120.42</v>
      </c>
      <c r="S2" s="86"/>
      <c r="T2" s="31">
        <f>+R2/1</f>
        <v>120.42</v>
      </c>
    </row>
    <row r="3" spans="2:20">
      <c r="C3" s="4">
        <v>7005002</v>
      </c>
      <c r="D3" s="4">
        <v>88</v>
      </c>
      <c r="E3" s="1" t="s">
        <v>227</v>
      </c>
      <c r="F3" s="87">
        <v>5950</v>
      </c>
      <c r="G3" s="96">
        <v>4525</v>
      </c>
      <c r="H3" s="96">
        <v>5257</v>
      </c>
      <c r="I3" s="99">
        <v>7501</v>
      </c>
      <c r="J3" s="99">
        <v>958</v>
      </c>
      <c r="K3" s="101">
        <v>4010</v>
      </c>
      <c r="L3" s="105">
        <v>3016.6</v>
      </c>
      <c r="M3" s="107">
        <v>3368.44</v>
      </c>
      <c r="N3" s="112">
        <v>5223.92</v>
      </c>
      <c r="O3" s="133">
        <v>7375.42</v>
      </c>
      <c r="P3" s="31">
        <v>5547.18</v>
      </c>
      <c r="Q3" s="93">
        <v>5824.28</v>
      </c>
      <c r="R3" s="8">
        <f t="shared" si="0"/>
        <v>58556.84</v>
      </c>
      <c r="S3" s="1">
        <f t="shared" ref="S3:S52" si="1">COUNT(F3:Q3)</f>
        <v>12</v>
      </c>
      <c r="T3" s="31">
        <f t="shared" ref="T3:T52" si="2">+R3/S3</f>
        <v>4879.7366666666667</v>
      </c>
    </row>
    <row r="4" spans="2:20">
      <c r="C4" s="4">
        <v>7003902</v>
      </c>
      <c r="D4" s="4">
        <v>87</v>
      </c>
      <c r="E4" s="1" t="s">
        <v>326</v>
      </c>
      <c r="F4" s="87">
        <v>7679</v>
      </c>
      <c r="G4" s="93">
        <v>6705</v>
      </c>
      <c r="H4" s="96">
        <v>6314</v>
      </c>
      <c r="I4" s="99">
        <v>8080</v>
      </c>
      <c r="J4" s="99">
        <v>910</v>
      </c>
      <c r="K4" s="101">
        <v>3683</v>
      </c>
      <c r="L4" s="105">
        <v>3190.36</v>
      </c>
      <c r="M4" s="107">
        <v>3786.34</v>
      </c>
      <c r="N4" s="112">
        <v>5788.69</v>
      </c>
      <c r="O4" s="133">
        <v>8539.33</v>
      </c>
      <c r="P4" s="31">
        <v>6384.27</v>
      </c>
      <c r="Q4" s="93">
        <v>6289.63</v>
      </c>
      <c r="R4" s="8">
        <f t="shared" si="0"/>
        <v>67349.62000000001</v>
      </c>
      <c r="S4" s="1">
        <f t="shared" si="1"/>
        <v>12</v>
      </c>
      <c r="T4" s="31">
        <f t="shared" si="2"/>
        <v>5612.4683333333342</v>
      </c>
    </row>
    <row r="5" spans="2:20">
      <c r="B5" s="1" t="s">
        <v>533</v>
      </c>
      <c r="C5" s="4">
        <v>15008670</v>
      </c>
      <c r="D5" s="4">
        <v>117</v>
      </c>
      <c r="E5" s="1" t="s">
        <v>114</v>
      </c>
      <c r="F5" s="55">
        <v>2513.7800000000002</v>
      </c>
      <c r="G5" s="87">
        <v>1381.97</v>
      </c>
      <c r="H5" s="93">
        <v>1855.77</v>
      </c>
      <c r="I5" s="96">
        <v>2467.81</v>
      </c>
      <c r="J5" s="99">
        <v>1320.42</v>
      </c>
      <c r="K5" s="101">
        <v>902.33</v>
      </c>
      <c r="L5" s="105">
        <v>1328.01</v>
      </c>
      <c r="M5" s="107">
        <v>1424.67</v>
      </c>
      <c r="N5" s="112">
        <v>2137.5300000000002</v>
      </c>
      <c r="O5" s="133">
        <v>3446.5</v>
      </c>
      <c r="P5" s="31">
        <v>3310.9</v>
      </c>
      <c r="Q5" s="93">
        <v>2051.79</v>
      </c>
      <c r="R5" s="8">
        <f t="shared" si="0"/>
        <v>24141.480000000003</v>
      </c>
      <c r="S5" s="1">
        <f t="shared" si="1"/>
        <v>12</v>
      </c>
      <c r="T5" s="31">
        <f t="shared" si="2"/>
        <v>2011.7900000000002</v>
      </c>
    </row>
    <row r="6" spans="2:20">
      <c r="C6" s="4">
        <v>70097</v>
      </c>
      <c r="D6" s="4">
        <v>132</v>
      </c>
      <c r="E6" s="1" t="s">
        <v>346</v>
      </c>
      <c r="F6" s="93">
        <v>4587.3500000000004</v>
      </c>
      <c r="G6" s="93">
        <v>4089.38</v>
      </c>
      <c r="H6" s="119"/>
      <c r="I6" s="120"/>
      <c r="J6" s="99">
        <v>3563.72</v>
      </c>
      <c r="K6" s="105">
        <v>3224.99</v>
      </c>
      <c r="L6" s="105">
        <v>3260.44</v>
      </c>
      <c r="M6" s="107">
        <v>3732.7</v>
      </c>
      <c r="N6" s="112">
        <v>4211.18</v>
      </c>
      <c r="O6" s="133">
        <v>5076.93</v>
      </c>
      <c r="P6" s="31">
        <v>4623.3900000000003</v>
      </c>
      <c r="Q6" s="93">
        <v>4518.57</v>
      </c>
      <c r="R6" s="8">
        <f>+SUM(F6:Q6)</f>
        <v>40888.65</v>
      </c>
      <c r="S6" s="1">
        <f>COUNT(F6:Q6)</f>
        <v>10</v>
      </c>
      <c r="T6" s="31">
        <f>+R6/S6</f>
        <v>4088.8650000000002</v>
      </c>
    </row>
    <row r="7" spans="2:20">
      <c r="B7" s="1" t="s">
        <v>534</v>
      </c>
      <c r="C7" s="4">
        <v>70000</v>
      </c>
      <c r="D7" s="4">
        <v>89</v>
      </c>
      <c r="E7" s="1" t="s">
        <v>229</v>
      </c>
      <c r="F7" s="55">
        <v>1062.23</v>
      </c>
      <c r="G7" s="87">
        <v>938.96</v>
      </c>
      <c r="H7" s="93">
        <v>964.49</v>
      </c>
      <c r="I7" s="96">
        <v>961.15</v>
      </c>
      <c r="J7" s="99">
        <v>859.43</v>
      </c>
      <c r="K7" s="101">
        <v>802.97</v>
      </c>
      <c r="L7" s="105">
        <v>814.15</v>
      </c>
      <c r="M7" s="107">
        <v>731.99</v>
      </c>
      <c r="N7" s="112">
        <v>912.9</v>
      </c>
      <c r="O7" s="133">
        <v>966.66</v>
      </c>
      <c r="P7" s="31">
        <v>1024.56</v>
      </c>
      <c r="Q7" s="93">
        <v>970.01</v>
      </c>
      <c r="R7" s="8">
        <f t="shared" si="0"/>
        <v>11009.5</v>
      </c>
      <c r="S7" s="1">
        <f t="shared" si="1"/>
        <v>12</v>
      </c>
      <c r="T7" s="31">
        <f t="shared" si="2"/>
        <v>917.45833333333337</v>
      </c>
    </row>
    <row r="8" spans="2:20">
      <c r="B8" s="1" t="s">
        <v>534</v>
      </c>
      <c r="C8" s="42">
        <v>70002</v>
      </c>
      <c r="D8" s="42">
        <v>90</v>
      </c>
      <c r="E8" s="11" t="s">
        <v>230</v>
      </c>
      <c r="F8" s="55">
        <v>1767.68</v>
      </c>
      <c r="G8" s="87">
        <v>1659.14</v>
      </c>
      <c r="H8" s="93">
        <v>1544.3</v>
      </c>
      <c r="I8" s="96">
        <v>1582.18</v>
      </c>
      <c r="J8" s="99">
        <v>1017.67</v>
      </c>
      <c r="K8" s="101">
        <v>879.31</v>
      </c>
      <c r="L8" s="105">
        <v>921.32</v>
      </c>
      <c r="M8" s="107">
        <v>1047.81</v>
      </c>
      <c r="N8" s="112">
        <v>1100.25</v>
      </c>
      <c r="O8" s="133">
        <v>1332.94</v>
      </c>
      <c r="P8" s="31">
        <v>1240.6300000000001</v>
      </c>
      <c r="Q8" s="93">
        <v>1296.28</v>
      </c>
      <c r="R8" s="8">
        <f t="shared" si="0"/>
        <v>15389.51</v>
      </c>
      <c r="S8" s="1">
        <f t="shared" si="1"/>
        <v>12</v>
      </c>
      <c r="T8" s="31">
        <f t="shared" si="2"/>
        <v>1282.4591666666668</v>
      </c>
    </row>
    <row r="9" spans="2:20">
      <c r="B9" s="1" t="s">
        <v>532</v>
      </c>
      <c r="C9" s="4">
        <v>70044</v>
      </c>
      <c r="D9" s="4"/>
      <c r="E9" s="1" t="s">
        <v>231</v>
      </c>
      <c r="F9" s="55">
        <v>9105.08</v>
      </c>
      <c r="G9" s="87">
        <v>6888.81</v>
      </c>
      <c r="H9" s="93">
        <v>7528.43</v>
      </c>
      <c r="I9" s="99">
        <v>9351.07</v>
      </c>
      <c r="J9" s="99">
        <v>9351.07</v>
      </c>
      <c r="K9" s="101">
        <v>4344.43</v>
      </c>
      <c r="L9" s="105">
        <v>3764.85</v>
      </c>
      <c r="M9" s="107">
        <v>4203.84</v>
      </c>
      <c r="N9" s="112">
        <v>7389.17</v>
      </c>
      <c r="O9" s="133">
        <v>10490.92</v>
      </c>
      <c r="P9" s="31">
        <v>8207.6</v>
      </c>
      <c r="Q9" s="93">
        <v>7860.4</v>
      </c>
      <c r="R9" s="8">
        <f t="shared" si="0"/>
        <v>88485.67</v>
      </c>
      <c r="S9" s="1">
        <f t="shared" si="1"/>
        <v>12</v>
      </c>
      <c r="T9" s="31">
        <f t="shared" si="2"/>
        <v>7373.8058333333329</v>
      </c>
    </row>
    <row r="10" spans="2:20">
      <c r="B10" s="1" t="s">
        <v>536</v>
      </c>
      <c r="C10" s="4">
        <v>70067</v>
      </c>
      <c r="D10" s="4"/>
      <c r="E10" s="1" t="s">
        <v>232</v>
      </c>
      <c r="F10" s="55">
        <v>3953.76</v>
      </c>
      <c r="G10" s="87">
        <v>2626.02</v>
      </c>
      <c r="H10" s="93">
        <v>2755.98</v>
      </c>
      <c r="I10" s="96">
        <v>3778.47</v>
      </c>
      <c r="J10" s="99">
        <v>1721.86</v>
      </c>
      <c r="K10" s="101">
        <v>1958.11</v>
      </c>
      <c r="L10" s="105">
        <v>1622.77</v>
      </c>
      <c r="M10" s="107">
        <v>1858.24</v>
      </c>
      <c r="N10" s="112">
        <v>2503.7600000000002</v>
      </c>
      <c r="O10" s="133">
        <v>3781.23</v>
      </c>
      <c r="P10" s="31">
        <v>3405.6</v>
      </c>
      <c r="Q10" s="93">
        <v>3379.4</v>
      </c>
      <c r="R10" s="8">
        <f t="shared" si="0"/>
        <v>33345.199999999997</v>
      </c>
      <c r="S10" s="1">
        <f t="shared" si="1"/>
        <v>12</v>
      </c>
      <c r="T10" s="31">
        <f t="shared" si="2"/>
        <v>2778.7666666666664</v>
      </c>
    </row>
    <row r="11" spans="2:20">
      <c r="B11" s="1" t="s">
        <v>532</v>
      </c>
      <c r="C11" s="4">
        <v>70075</v>
      </c>
      <c r="D11" s="4">
        <v>95</v>
      </c>
      <c r="E11" s="1" t="s">
        <v>234</v>
      </c>
      <c r="F11" s="55">
        <v>6582.42</v>
      </c>
      <c r="G11" s="87">
        <v>4360.32</v>
      </c>
      <c r="H11" s="93">
        <v>4776.12</v>
      </c>
      <c r="I11" s="96">
        <v>6365.58</v>
      </c>
      <c r="J11" s="99">
        <v>3925.62</v>
      </c>
      <c r="K11" s="105">
        <v>3824.82</v>
      </c>
      <c r="L11" s="105">
        <v>4549.54</v>
      </c>
      <c r="M11" s="107">
        <v>4582.2</v>
      </c>
      <c r="N11" s="112">
        <v>5415</v>
      </c>
      <c r="O11" s="133">
        <v>6850.68</v>
      </c>
      <c r="P11" s="31">
        <v>5837.48</v>
      </c>
      <c r="Q11" s="93">
        <v>5924.85</v>
      </c>
      <c r="R11" s="8">
        <f t="shared" si="0"/>
        <v>62994.63</v>
      </c>
      <c r="S11" s="1">
        <f t="shared" si="1"/>
        <v>12</v>
      </c>
      <c r="T11" s="31">
        <f t="shared" si="2"/>
        <v>5249.5524999999998</v>
      </c>
    </row>
    <row r="12" spans="2:20">
      <c r="B12" s="1" t="s">
        <v>535</v>
      </c>
      <c r="C12" s="4">
        <v>70053</v>
      </c>
      <c r="D12" s="4">
        <v>96</v>
      </c>
      <c r="E12" s="1" t="s">
        <v>235</v>
      </c>
      <c r="F12" s="55">
        <v>12900.65</v>
      </c>
      <c r="G12" s="87">
        <f>10308.25+16182.56</f>
        <v>26490.809999999998</v>
      </c>
      <c r="H12" s="93">
        <v>19225.919999999998</v>
      </c>
      <c r="I12" s="96">
        <v>17290.169999999998</v>
      </c>
      <c r="J12" s="99">
        <v>10174.57</v>
      </c>
      <c r="K12" s="101">
        <v>5019.8599999999997</v>
      </c>
      <c r="L12" s="105">
        <v>6509.6</v>
      </c>
      <c r="M12" s="107">
        <v>7766.04</v>
      </c>
      <c r="N12" s="112">
        <v>12789.54</v>
      </c>
      <c r="O12" s="133">
        <v>15851.79</v>
      </c>
      <c r="P12" s="31">
        <v>18274.22</v>
      </c>
      <c r="Q12" s="93">
        <v>14879.88</v>
      </c>
      <c r="R12" s="8">
        <f t="shared" si="0"/>
        <v>167173.05000000002</v>
      </c>
      <c r="S12" s="1">
        <f t="shared" si="1"/>
        <v>12</v>
      </c>
      <c r="T12" s="31">
        <f t="shared" si="2"/>
        <v>13931.087500000001</v>
      </c>
    </row>
    <row r="13" spans="2:20">
      <c r="C13" s="4">
        <v>15003404</v>
      </c>
      <c r="D13" s="4">
        <v>97</v>
      </c>
      <c r="E13" s="1" t="s">
        <v>236</v>
      </c>
      <c r="F13" s="55">
        <v>13676.63</v>
      </c>
      <c r="G13" s="87">
        <v>12369.33</v>
      </c>
      <c r="H13" s="93">
        <v>13603.05</v>
      </c>
      <c r="I13" s="96">
        <v>16034.95</v>
      </c>
      <c r="J13" s="99">
        <v>11168.62</v>
      </c>
      <c r="K13" s="101">
        <v>10129.370000000001</v>
      </c>
      <c r="L13" s="105">
        <v>10541.18</v>
      </c>
      <c r="M13" s="107">
        <v>9759.36</v>
      </c>
      <c r="N13" s="112">
        <v>13125.59</v>
      </c>
      <c r="O13" s="133">
        <v>15574.42</v>
      </c>
      <c r="P13" s="31">
        <v>15142.45</v>
      </c>
      <c r="Q13" s="93">
        <v>12439.77</v>
      </c>
      <c r="R13" s="8">
        <f t="shared" si="0"/>
        <v>153564.71999999997</v>
      </c>
      <c r="S13" s="1">
        <f t="shared" si="1"/>
        <v>12</v>
      </c>
      <c r="T13" s="31">
        <f t="shared" si="2"/>
        <v>12797.059999999998</v>
      </c>
    </row>
    <row r="14" spans="2:20">
      <c r="B14" s="1" t="s">
        <v>538</v>
      </c>
      <c r="C14" s="4">
        <v>70020</v>
      </c>
      <c r="D14" s="4"/>
      <c r="E14" s="1" t="s">
        <v>237</v>
      </c>
      <c r="F14" s="55">
        <v>8474.25</v>
      </c>
      <c r="G14" s="87">
        <v>7113.22</v>
      </c>
      <c r="H14" s="93">
        <v>9366.3799999999992</v>
      </c>
      <c r="I14" s="96">
        <v>9153.86</v>
      </c>
      <c r="J14" s="99">
        <v>6402.57</v>
      </c>
      <c r="K14" s="101">
        <v>5659.41</v>
      </c>
      <c r="L14" s="105">
        <v>4486.8100000000004</v>
      </c>
      <c r="M14" s="107">
        <v>5897.21</v>
      </c>
      <c r="N14" s="112">
        <v>7623.15</v>
      </c>
      <c r="O14" s="133">
        <v>9502.35</v>
      </c>
      <c r="P14" s="31">
        <v>6429.53</v>
      </c>
      <c r="Q14" s="93">
        <v>14780.23</v>
      </c>
      <c r="R14" s="8">
        <f t="shared" si="0"/>
        <v>94888.97</v>
      </c>
      <c r="S14" s="1">
        <f t="shared" si="1"/>
        <v>12</v>
      </c>
      <c r="T14" s="31">
        <f t="shared" si="2"/>
        <v>7907.4141666666665</v>
      </c>
    </row>
    <row r="15" spans="2:20">
      <c r="C15" s="4">
        <v>15006166</v>
      </c>
      <c r="D15" s="4"/>
      <c r="E15" s="1" t="s">
        <v>238</v>
      </c>
      <c r="F15" s="114"/>
      <c r="G15" s="116"/>
      <c r="H15" s="119"/>
      <c r="I15" s="120"/>
      <c r="J15" s="123"/>
      <c r="K15" s="124"/>
      <c r="L15" s="127"/>
      <c r="M15" s="128"/>
      <c r="N15" s="130"/>
      <c r="O15" s="134"/>
      <c r="P15" s="136"/>
      <c r="Q15" s="119"/>
      <c r="R15" s="8">
        <f t="shared" si="0"/>
        <v>0</v>
      </c>
      <c r="S15" s="1">
        <f t="shared" si="1"/>
        <v>0</v>
      </c>
      <c r="T15" s="31" t="e">
        <f t="shared" si="2"/>
        <v>#DIV/0!</v>
      </c>
    </row>
    <row r="16" spans="2:20">
      <c r="B16" s="1" t="s">
        <v>536</v>
      </c>
      <c r="C16" s="4">
        <v>15007853</v>
      </c>
      <c r="D16" s="4"/>
      <c r="E16" s="1" t="s">
        <v>111</v>
      </c>
      <c r="F16" s="55">
        <v>3586.5</v>
      </c>
      <c r="G16" s="87">
        <v>2609.7199999999998</v>
      </c>
      <c r="H16" s="93">
        <v>2670.07</v>
      </c>
      <c r="I16" s="96">
        <v>3404.31</v>
      </c>
      <c r="J16" s="99">
        <v>2278.88</v>
      </c>
      <c r="K16" s="101">
        <v>2133.7199999999998</v>
      </c>
      <c r="L16" s="105">
        <v>1986.37</v>
      </c>
      <c r="M16" s="107">
        <v>2122.9499999999998</v>
      </c>
      <c r="N16" s="112">
        <v>2693.59</v>
      </c>
      <c r="O16" s="133">
        <v>3723.25</v>
      </c>
      <c r="P16" s="31">
        <v>3723.46</v>
      </c>
      <c r="Q16" s="93">
        <v>3248.92</v>
      </c>
      <c r="R16" s="8">
        <f t="shared" si="0"/>
        <v>34181.74</v>
      </c>
      <c r="S16" s="1">
        <f t="shared" si="1"/>
        <v>12</v>
      </c>
      <c r="T16" s="31">
        <f t="shared" si="2"/>
        <v>2848.478333333333</v>
      </c>
    </row>
    <row r="17" spans="2:20">
      <c r="B17" s="1" t="s">
        <v>539</v>
      </c>
      <c r="C17" s="4">
        <v>70007</v>
      </c>
      <c r="D17" s="4">
        <v>99</v>
      </c>
      <c r="E17" s="1" t="s">
        <v>239</v>
      </c>
      <c r="F17" s="55">
        <v>330</v>
      </c>
      <c r="G17" s="87">
        <v>339</v>
      </c>
      <c r="H17" s="93">
        <v>336</v>
      </c>
      <c r="I17" s="96">
        <v>327</v>
      </c>
      <c r="J17" s="99">
        <v>318</v>
      </c>
      <c r="K17" s="101">
        <v>297</v>
      </c>
      <c r="L17" s="105">
        <v>289.5</v>
      </c>
      <c r="M17" s="107">
        <v>285</v>
      </c>
      <c r="N17" s="112">
        <v>303</v>
      </c>
      <c r="O17" s="133">
        <v>312</v>
      </c>
      <c r="P17" s="31">
        <v>321</v>
      </c>
      <c r="Q17" s="93">
        <v>331.5</v>
      </c>
      <c r="R17" s="8">
        <f t="shared" si="0"/>
        <v>3789</v>
      </c>
      <c r="S17" s="1">
        <f t="shared" si="1"/>
        <v>12</v>
      </c>
      <c r="T17" s="31">
        <f t="shared" si="2"/>
        <v>315.75</v>
      </c>
    </row>
    <row r="18" spans="2:20">
      <c r="C18" s="4">
        <v>15010839</v>
      </c>
      <c r="D18" s="4"/>
      <c r="E18" s="1" t="s">
        <v>300</v>
      </c>
      <c r="F18" s="55">
        <v>9048.57</v>
      </c>
      <c r="G18" s="87">
        <v>5467.43</v>
      </c>
      <c r="H18" s="93">
        <v>7569.95</v>
      </c>
      <c r="I18" s="96">
        <v>9115.2900000000009</v>
      </c>
      <c r="J18" s="99">
        <v>3980.72</v>
      </c>
      <c r="K18" s="101">
        <v>3616.79</v>
      </c>
      <c r="L18" s="105">
        <v>4339.1499999999996</v>
      </c>
      <c r="M18" s="107">
        <v>4300.04</v>
      </c>
      <c r="N18" s="112">
        <v>5726.44</v>
      </c>
      <c r="O18" s="133">
        <v>11746.03</v>
      </c>
      <c r="P18" s="31">
        <v>10618.62</v>
      </c>
      <c r="Q18" s="93">
        <v>10410.36</v>
      </c>
      <c r="R18" s="8">
        <f t="shared" si="0"/>
        <v>85939.39</v>
      </c>
      <c r="S18" s="1">
        <f t="shared" si="1"/>
        <v>12</v>
      </c>
      <c r="T18" s="31">
        <f t="shared" si="2"/>
        <v>7161.6158333333333</v>
      </c>
    </row>
    <row r="19" spans="2:20">
      <c r="C19" s="4">
        <v>15005502</v>
      </c>
      <c r="D19" s="4">
        <v>137</v>
      </c>
      <c r="E19" s="1" t="s">
        <v>240</v>
      </c>
      <c r="F19" s="55">
        <v>20910.12</v>
      </c>
      <c r="G19" s="87">
        <v>19075.599999999999</v>
      </c>
      <c r="H19" s="93">
        <v>19794.87</v>
      </c>
      <c r="I19" s="96">
        <v>25939.5</v>
      </c>
      <c r="J19" s="99">
        <v>17447.419999999998</v>
      </c>
      <c r="K19" s="101">
        <v>15207.42</v>
      </c>
      <c r="L19" s="105">
        <v>14317.76</v>
      </c>
      <c r="M19" s="107">
        <v>15881.42</v>
      </c>
      <c r="N19" s="112">
        <v>19963.169999999998</v>
      </c>
      <c r="O19" s="133">
        <v>23937.03</v>
      </c>
      <c r="P19" s="31">
        <v>21782.13</v>
      </c>
      <c r="Q19" s="93">
        <v>23067.22</v>
      </c>
      <c r="R19" s="8">
        <f t="shared" si="0"/>
        <v>237323.66000000003</v>
      </c>
      <c r="S19" s="1">
        <f t="shared" si="1"/>
        <v>12</v>
      </c>
      <c r="T19" s="31">
        <f t="shared" si="2"/>
        <v>19776.971666666668</v>
      </c>
    </row>
    <row r="20" spans="2:20">
      <c r="C20" s="4">
        <v>70008</v>
      </c>
      <c r="D20" s="4">
        <v>100</v>
      </c>
      <c r="E20" s="1" t="s">
        <v>241</v>
      </c>
      <c r="F20" s="55">
        <v>2730.62</v>
      </c>
      <c r="G20" s="87">
        <v>1985.83</v>
      </c>
      <c r="H20" s="93">
        <v>1953.93</v>
      </c>
      <c r="I20" s="96">
        <v>2386.15</v>
      </c>
      <c r="J20" s="99">
        <v>1572.36</v>
      </c>
      <c r="K20" s="101">
        <v>1680.24</v>
      </c>
      <c r="L20" s="105">
        <v>1613.17</v>
      </c>
      <c r="M20" s="107">
        <v>1486.3</v>
      </c>
      <c r="N20" s="112">
        <v>2102.36</v>
      </c>
      <c r="O20" s="133">
        <v>2862.64</v>
      </c>
      <c r="P20" s="31">
        <v>2269.31</v>
      </c>
      <c r="Q20" s="93">
        <v>2621.63</v>
      </c>
      <c r="R20" s="8">
        <f t="shared" si="0"/>
        <v>25264.54</v>
      </c>
      <c r="S20" s="1">
        <f t="shared" si="1"/>
        <v>12</v>
      </c>
      <c r="T20" s="31">
        <f t="shared" si="2"/>
        <v>2105.3783333333336</v>
      </c>
    </row>
    <row r="21" spans="2:20">
      <c r="C21" s="4">
        <v>70072</v>
      </c>
      <c r="D21" s="4">
        <v>102</v>
      </c>
      <c r="E21" s="1" t="s">
        <v>242</v>
      </c>
      <c r="F21" s="55">
        <v>6601.8</v>
      </c>
      <c r="G21" s="87">
        <v>5416.44</v>
      </c>
      <c r="H21" s="93">
        <v>6624.11</v>
      </c>
      <c r="I21" s="96">
        <v>7535.18</v>
      </c>
      <c r="J21" s="99">
        <v>5577.39</v>
      </c>
      <c r="K21" s="101">
        <v>3561.67</v>
      </c>
      <c r="L21" s="105">
        <v>4061.66</v>
      </c>
      <c r="M21" s="107">
        <v>3661.97</v>
      </c>
      <c r="N21" s="112">
        <v>5229.8999999999996</v>
      </c>
      <c r="O21" s="133">
        <v>6417.18</v>
      </c>
      <c r="P21" s="31">
        <v>5788.05</v>
      </c>
      <c r="Q21" s="93">
        <v>5724.13</v>
      </c>
      <c r="R21" s="8">
        <f t="shared" si="0"/>
        <v>66199.48000000001</v>
      </c>
      <c r="S21" s="1">
        <f t="shared" si="1"/>
        <v>12</v>
      </c>
      <c r="T21" s="31">
        <f t="shared" si="2"/>
        <v>5516.6233333333339</v>
      </c>
    </row>
    <row r="22" spans="2:20">
      <c r="C22" s="4">
        <v>15006827</v>
      </c>
      <c r="D22" s="4">
        <v>4124</v>
      </c>
      <c r="E22" s="1" t="s">
        <v>344</v>
      </c>
      <c r="F22" s="55">
        <v>8346.2999999999993</v>
      </c>
      <c r="G22" s="87">
        <v>6329.19</v>
      </c>
      <c r="H22" s="93">
        <v>9046</v>
      </c>
      <c r="I22" s="96">
        <v>12261.37</v>
      </c>
      <c r="J22" s="99">
        <v>6178.98</v>
      </c>
      <c r="K22" s="101">
        <v>3762.89</v>
      </c>
      <c r="L22" s="105">
        <v>4533.67</v>
      </c>
      <c r="M22" s="107">
        <v>6348.17</v>
      </c>
      <c r="N22" s="112">
        <v>8698.9500000000007</v>
      </c>
      <c r="O22" s="133">
        <v>12554.63</v>
      </c>
      <c r="P22" s="31">
        <v>12232.84</v>
      </c>
      <c r="Q22" s="93">
        <v>14961.15</v>
      </c>
      <c r="R22" s="8">
        <f t="shared" si="0"/>
        <v>105254.13999999998</v>
      </c>
      <c r="S22" s="1">
        <f t="shared" si="1"/>
        <v>12</v>
      </c>
      <c r="T22" s="31">
        <f t="shared" si="2"/>
        <v>8771.1783333333315</v>
      </c>
    </row>
    <row r="23" spans="2:20">
      <c r="C23" s="4">
        <v>7001601</v>
      </c>
      <c r="D23" s="4">
        <v>138</v>
      </c>
      <c r="E23" s="1" t="s">
        <v>243</v>
      </c>
      <c r="F23" s="55">
        <v>15352.51</v>
      </c>
      <c r="G23" s="93">
        <v>15086.64</v>
      </c>
      <c r="H23" s="93">
        <v>12471.22</v>
      </c>
      <c r="I23" s="112">
        <v>4600</v>
      </c>
      <c r="J23" s="35" t="s">
        <v>351</v>
      </c>
      <c r="K23" s="35" t="s">
        <v>351</v>
      </c>
      <c r="L23" s="35" t="s">
        <v>351</v>
      </c>
      <c r="M23" s="35" t="s">
        <v>351</v>
      </c>
      <c r="N23" s="112">
        <v>12216.58</v>
      </c>
      <c r="O23" s="133">
        <v>20539.72</v>
      </c>
      <c r="P23" s="93">
        <v>20471.28</v>
      </c>
      <c r="Q23" s="93">
        <v>13945.98</v>
      </c>
      <c r="R23" s="8">
        <f t="shared" si="0"/>
        <v>114683.93000000001</v>
      </c>
      <c r="S23" s="1">
        <f t="shared" si="1"/>
        <v>8</v>
      </c>
      <c r="T23" s="31">
        <f t="shared" si="2"/>
        <v>14335.491250000001</v>
      </c>
    </row>
    <row r="24" spans="2:20">
      <c r="C24" s="4">
        <v>15004535</v>
      </c>
      <c r="D24" s="4">
        <v>124</v>
      </c>
      <c r="E24" s="1" t="s">
        <v>112</v>
      </c>
      <c r="F24" s="55">
        <v>1693.16</v>
      </c>
      <c r="G24" s="87">
        <v>1621.92</v>
      </c>
      <c r="H24" s="93">
        <v>2388.9</v>
      </c>
      <c r="I24" s="96">
        <v>2232.56</v>
      </c>
      <c r="J24" s="99">
        <f>2232.56+1812.21</f>
        <v>4044.77</v>
      </c>
      <c r="K24" s="101">
        <v>940.14</v>
      </c>
      <c r="L24" s="105">
        <v>1933.08</v>
      </c>
      <c r="M24" s="107">
        <v>2352.4899999999998</v>
      </c>
      <c r="N24" s="112">
        <v>2342.52</v>
      </c>
      <c r="O24" s="133">
        <v>3768.13</v>
      </c>
      <c r="P24" s="31">
        <v>3336.36</v>
      </c>
      <c r="Q24" s="93">
        <v>2522.52</v>
      </c>
      <c r="R24" s="8">
        <f t="shared" si="0"/>
        <v>29176.55</v>
      </c>
      <c r="S24" s="1">
        <f t="shared" si="1"/>
        <v>12</v>
      </c>
      <c r="T24" s="31">
        <f t="shared" si="2"/>
        <v>2431.3791666666666</v>
      </c>
    </row>
    <row r="25" spans="2:20">
      <c r="C25" s="4">
        <v>15007588</v>
      </c>
      <c r="D25" s="4"/>
      <c r="E25" s="1" t="s">
        <v>246</v>
      </c>
      <c r="F25" s="55">
        <v>15572.59</v>
      </c>
      <c r="G25" s="87">
        <v>13432.89</v>
      </c>
      <c r="H25" s="93">
        <v>14450.61</v>
      </c>
      <c r="I25" s="96">
        <v>18390.54</v>
      </c>
      <c r="J25" s="101">
        <v>11217.87</v>
      </c>
      <c r="K25" s="101">
        <v>10005.6</v>
      </c>
      <c r="L25" s="105">
        <v>9136.2099999999991</v>
      </c>
      <c r="M25" s="107">
        <v>9381.01</v>
      </c>
      <c r="N25" s="112">
        <v>12774.64</v>
      </c>
      <c r="O25" s="133">
        <v>18646.12</v>
      </c>
      <c r="P25" s="31">
        <v>17712.740000000002</v>
      </c>
      <c r="Q25" s="93">
        <v>16570.3</v>
      </c>
      <c r="R25" s="8">
        <f t="shared" si="0"/>
        <v>167291.11999999997</v>
      </c>
      <c r="S25" s="1">
        <f t="shared" si="1"/>
        <v>12</v>
      </c>
      <c r="T25" s="31">
        <f t="shared" si="2"/>
        <v>13940.926666666664</v>
      </c>
    </row>
    <row r="26" spans="2:20">
      <c r="C26" s="4">
        <v>70079</v>
      </c>
      <c r="D26" s="4">
        <v>129</v>
      </c>
      <c r="E26" s="1" t="s">
        <v>247</v>
      </c>
      <c r="F26" s="55">
        <v>13208.36</v>
      </c>
      <c r="G26" s="87">
        <v>11428.36</v>
      </c>
      <c r="H26" s="93">
        <v>11729.07</v>
      </c>
      <c r="I26" s="96">
        <v>15447.83</v>
      </c>
      <c r="J26" s="99">
        <v>9545.0300000000007</v>
      </c>
      <c r="K26" s="101">
        <v>8129.85</v>
      </c>
      <c r="L26" s="105">
        <v>9168.35</v>
      </c>
      <c r="M26" s="107">
        <v>9024.67</v>
      </c>
      <c r="N26" s="112">
        <v>12747.69</v>
      </c>
      <c r="O26" s="133">
        <v>14847.76</v>
      </c>
      <c r="P26" s="31">
        <v>13703.61</v>
      </c>
      <c r="Q26" s="93">
        <v>13314.68</v>
      </c>
      <c r="R26" s="8">
        <f t="shared" si="0"/>
        <v>142295.26</v>
      </c>
      <c r="S26" s="1">
        <f t="shared" si="1"/>
        <v>12</v>
      </c>
      <c r="T26" s="31">
        <f t="shared" si="2"/>
        <v>11857.938333333334</v>
      </c>
    </row>
    <row r="27" spans="2:20">
      <c r="C27" s="4">
        <v>70017</v>
      </c>
      <c r="D27" s="4">
        <v>130</v>
      </c>
      <c r="E27" s="1" t="s">
        <v>248</v>
      </c>
      <c r="F27" s="55">
        <v>27796.25</v>
      </c>
      <c r="G27" s="87">
        <v>23703.73</v>
      </c>
      <c r="H27" s="93">
        <v>28045.19</v>
      </c>
      <c r="I27" s="96">
        <v>36017.480000000003</v>
      </c>
      <c r="J27" s="99">
        <v>24619.65</v>
      </c>
      <c r="K27" s="101">
        <v>17652.330000000002</v>
      </c>
      <c r="L27" s="105">
        <v>18130.37</v>
      </c>
      <c r="M27" s="107">
        <v>20815.04</v>
      </c>
      <c r="N27" s="112">
        <v>26060.02</v>
      </c>
      <c r="O27" s="133">
        <v>34923.839999999997</v>
      </c>
      <c r="P27" s="31">
        <v>30102.79</v>
      </c>
      <c r="Q27" s="93">
        <v>28490.67</v>
      </c>
      <c r="R27" s="8">
        <f t="shared" si="0"/>
        <v>316357.36</v>
      </c>
      <c r="S27" s="1">
        <f t="shared" si="1"/>
        <v>12</v>
      </c>
      <c r="T27" s="31">
        <f t="shared" si="2"/>
        <v>26363.113333333331</v>
      </c>
    </row>
    <row r="28" spans="2:20">
      <c r="C28" s="4">
        <v>70095</v>
      </c>
      <c r="D28" s="4"/>
      <c r="E28" s="1" t="s">
        <v>249</v>
      </c>
      <c r="F28" s="55">
        <v>14338.82</v>
      </c>
      <c r="G28" s="87">
        <v>11329.71</v>
      </c>
      <c r="H28" s="93">
        <v>13762.73</v>
      </c>
      <c r="I28" s="96">
        <v>17556.11</v>
      </c>
      <c r="J28" s="99">
        <v>11670.72</v>
      </c>
      <c r="K28" s="101">
        <v>9385.56</v>
      </c>
      <c r="L28" s="105">
        <v>9186.3799999999992</v>
      </c>
      <c r="M28" s="107">
        <v>10947.17</v>
      </c>
      <c r="N28" s="112">
        <v>13329.07</v>
      </c>
      <c r="O28" s="133">
        <v>15381.88</v>
      </c>
      <c r="P28" s="31">
        <v>14535.58</v>
      </c>
      <c r="Q28" s="93">
        <v>13757.95</v>
      </c>
      <c r="R28" s="8">
        <f t="shared" si="0"/>
        <v>155181.68</v>
      </c>
      <c r="S28" s="1">
        <f t="shared" si="1"/>
        <v>12</v>
      </c>
      <c r="T28" s="31">
        <f t="shared" si="2"/>
        <v>12931.806666666665</v>
      </c>
    </row>
    <row r="29" spans="2:20">
      <c r="C29" s="4">
        <v>7006902</v>
      </c>
      <c r="D29" s="4"/>
      <c r="E29" s="1" t="s">
        <v>249</v>
      </c>
      <c r="F29" s="87">
        <v>7049</v>
      </c>
      <c r="G29" s="93">
        <v>5611</v>
      </c>
      <c r="H29" s="96">
        <v>5548</v>
      </c>
      <c r="I29" s="99">
        <v>7233</v>
      </c>
      <c r="J29" s="99">
        <v>637</v>
      </c>
      <c r="K29" s="101">
        <v>3792</v>
      </c>
      <c r="L29" s="105">
        <v>3542.63</v>
      </c>
      <c r="M29" s="107">
        <v>3863.44</v>
      </c>
      <c r="N29" s="112">
        <v>5782.22</v>
      </c>
      <c r="O29" s="133">
        <v>6839.2</v>
      </c>
      <c r="P29" s="31">
        <v>6407.39</v>
      </c>
      <c r="Q29" s="93">
        <v>6202.06</v>
      </c>
      <c r="R29" s="8">
        <f t="shared" si="0"/>
        <v>62506.939999999995</v>
      </c>
      <c r="S29" s="1">
        <f t="shared" si="1"/>
        <v>12</v>
      </c>
      <c r="T29" s="31">
        <f t="shared" si="2"/>
        <v>5208.911666666666</v>
      </c>
    </row>
    <row r="30" spans="2:20">
      <c r="C30" s="4">
        <v>15006999</v>
      </c>
      <c r="D30" s="4"/>
      <c r="E30" s="1" t="s">
        <v>322</v>
      </c>
      <c r="F30" s="55">
        <v>10105.73</v>
      </c>
      <c r="G30" s="87">
        <v>8847.11</v>
      </c>
      <c r="H30" s="93">
        <v>10607.67</v>
      </c>
      <c r="I30" s="96">
        <v>13111.7</v>
      </c>
      <c r="J30" s="99">
        <v>8780.92</v>
      </c>
      <c r="K30" s="101">
        <v>6837.95</v>
      </c>
      <c r="L30" s="105">
        <v>7942.4</v>
      </c>
      <c r="M30" s="107">
        <v>9096.4</v>
      </c>
      <c r="N30" s="112">
        <v>11541.67</v>
      </c>
      <c r="O30" s="133">
        <v>13237.98</v>
      </c>
      <c r="P30" s="31">
        <v>11861.49</v>
      </c>
      <c r="Q30" s="93">
        <v>12548.42</v>
      </c>
      <c r="R30" s="8">
        <f t="shared" si="0"/>
        <v>124519.43999999999</v>
      </c>
      <c r="S30" s="1">
        <f t="shared" si="1"/>
        <v>12</v>
      </c>
      <c r="T30" s="31">
        <f t="shared" si="2"/>
        <v>10376.619999999999</v>
      </c>
    </row>
    <row r="31" spans="2:20">
      <c r="C31" s="4">
        <v>15018015</v>
      </c>
      <c r="D31" s="4">
        <v>131</v>
      </c>
      <c r="E31" s="1" t="s">
        <v>250</v>
      </c>
      <c r="F31" s="55">
        <v>31756.11</v>
      </c>
      <c r="G31" s="87">
        <v>23464.36</v>
      </c>
      <c r="H31" s="93">
        <v>21487.41</v>
      </c>
      <c r="I31" s="96">
        <v>25182.67</v>
      </c>
      <c r="J31" s="99">
        <v>16625.830000000002</v>
      </c>
      <c r="K31" s="101">
        <v>10046.84</v>
      </c>
      <c r="L31" s="105">
        <v>11144.42</v>
      </c>
      <c r="M31" s="107">
        <v>14944.97</v>
      </c>
      <c r="N31" s="112">
        <f>17414.27+3438.49</f>
        <v>20852.760000000002</v>
      </c>
      <c r="O31" s="133">
        <v>27824.22</v>
      </c>
      <c r="P31" s="31">
        <v>26444.31</v>
      </c>
      <c r="Q31" s="93">
        <v>23633.040000000001</v>
      </c>
      <c r="R31" s="8">
        <f t="shared" si="0"/>
        <v>253406.94000000003</v>
      </c>
      <c r="S31" s="1">
        <f t="shared" si="1"/>
        <v>12</v>
      </c>
      <c r="T31" s="31">
        <f t="shared" si="2"/>
        <v>21117.245000000003</v>
      </c>
    </row>
    <row r="32" spans="2:20">
      <c r="C32" s="4">
        <v>70092</v>
      </c>
      <c r="D32" s="4">
        <v>569</v>
      </c>
      <c r="E32" s="1" t="s">
        <v>93</v>
      </c>
      <c r="F32" s="99">
        <v>12171.68</v>
      </c>
      <c r="G32" s="96">
        <v>9062.1200000000008</v>
      </c>
      <c r="H32" s="112">
        <v>12481.09</v>
      </c>
      <c r="I32" s="96">
        <v>15140.76</v>
      </c>
      <c r="J32" s="99">
        <v>8984.41</v>
      </c>
      <c r="K32" s="101">
        <v>6218.13</v>
      </c>
      <c r="L32" s="31">
        <v>8513.06</v>
      </c>
      <c r="M32" s="31">
        <v>14084.12</v>
      </c>
      <c r="N32" s="112">
        <v>10972.13</v>
      </c>
      <c r="O32" s="133">
        <v>14825.48</v>
      </c>
      <c r="P32" s="31">
        <v>10446.39</v>
      </c>
      <c r="Q32" s="93">
        <v>15004.61</v>
      </c>
      <c r="R32" s="8">
        <f t="shared" si="0"/>
        <v>137903.97999999998</v>
      </c>
      <c r="S32" s="1">
        <f t="shared" si="1"/>
        <v>12</v>
      </c>
      <c r="T32" s="31">
        <f t="shared" si="2"/>
        <v>11491.998333333331</v>
      </c>
    </row>
    <row r="33" spans="3:20">
      <c r="C33" s="4">
        <v>70099</v>
      </c>
      <c r="D33" s="4">
        <v>3583</v>
      </c>
      <c r="E33" s="1" t="s">
        <v>105</v>
      </c>
      <c r="F33" s="96">
        <v>12804.32</v>
      </c>
      <c r="G33" s="87">
        <v>10949.45</v>
      </c>
      <c r="H33" s="93">
        <v>11681.48</v>
      </c>
      <c r="I33" s="96">
        <v>13599.62</v>
      </c>
      <c r="J33" s="99">
        <v>9345.4</v>
      </c>
      <c r="K33" s="101">
        <v>7861.99</v>
      </c>
      <c r="L33" s="105">
        <v>8000.91</v>
      </c>
      <c r="M33" s="107">
        <v>9046.76</v>
      </c>
      <c r="N33" s="112">
        <v>11233.65</v>
      </c>
      <c r="O33" s="133">
        <v>13467.09</v>
      </c>
      <c r="P33" s="31">
        <v>14663.57</v>
      </c>
      <c r="Q33" s="93">
        <v>15093.56</v>
      </c>
      <c r="R33" s="8">
        <f t="shared" si="0"/>
        <v>137747.79999999999</v>
      </c>
      <c r="S33" s="1">
        <f t="shared" si="1"/>
        <v>12</v>
      </c>
      <c r="T33" s="31">
        <f t="shared" si="2"/>
        <v>11478.983333333332</v>
      </c>
    </row>
    <row r="34" spans="3:20">
      <c r="C34" s="4">
        <v>15006238</v>
      </c>
      <c r="D34" s="4">
        <v>4074</v>
      </c>
      <c r="E34" s="1" t="s">
        <v>325</v>
      </c>
      <c r="F34" s="93">
        <v>12438.36</v>
      </c>
      <c r="G34" s="87">
        <v>8812.73</v>
      </c>
      <c r="H34" s="93">
        <v>10068.84</v>
      </c>
      <c r="I34" s="96">
        <v>16364.67</v>
      </c>
      <c r="J34" s="99">
        <v>9265.02</v>
      </c>
      <c r="K34" s="101">
        <v>7033.15</v>
      </c>
      <c r="L34" s="105">
        <v>6613.34</v>
      </c>
      <c r="M34" s="107">
        <v>8715.8700000000008</v>
      </c>
      <c r="N34" s="112">
        <v>12042.17</v>
      </c>
      <c r="O34" s="133">
        <v>16621.63</v>
      </c>
      <c r="P34" s="31">
        <v>13757.59</v>
      </c>
      <c r="Q34" s="93">
        <v>15056.3</v>
      </c>
      <c r="R34" s="8">
        <f t="shared" si="0"/>
        <v>136789.66999999998</v>
      </c>
      <c r="S34" s="1">
        <f t="shared" si="1"/>
        <v>12</v>
      </c>
      <c r="T34" s="31">
        <f t="shared" si="2"/>
        <v>11399.139166666666</v>
      </c>
    </row>
    <row r="35" spans="3:20">
      <c r="C35" s="4">
        <v>70021</v>
      </c>
      <c r="D35" s="4">
        <v>645</v>
      </c>
      <c r="E35" s="1" t="s">
        <v>253</v>
      </c>
      <c r="F35" s="55">
        <v>49479.96</v>
      </c>
      <c r="G35" s="87">
        <v>45871.199999999997</v>
      </c>
      <c r="H35" s="93">
        <v>50642.28</v>
      </c>
      <c r="I35" s="96">
        <v>63695.519999999997</v>
      </c>
      <c r="J35" s="99">
        <v>31982.1</v>
      </c>
      <c r="K35" s="101">
        <v>32386.44</v>
      </c>
      <c r="L35" s="105">
        <v>34858.379999999997</v>
      </c>
      <c r="M35" s="107">
        <v>41558.339999999997</v>
      </c>
      <c r="N35" s="112">
        <v>63989.46</v>
      </c>
      <c r="O35" s="133">
        <v>56056.62</v>
      </c>
      <c r="P35" s="31">
        <v>57525.96</v>
      </c>
      <c r="Q35" s="93">
        <v>46226.22</v>
      </c>
      <c r="R35" s="8">
        <f t="shared" ref="R35:R52" si="3">+SUM(F35:Q35)</f>
        <v>574272.48</v>
      </c>
      <c r="S35" s="1">
        <f t="shared" si="1"/>
        <v>12</v>
      </c>
      <c r="T35" s="31">
        <f t="shared" si="2"/>
        <v>47856.04</v>
      </c>
    </row>
    <row r="36" spans="3:20">
      <c r="C36" s="4">
        <v>7002501</v>
      </c>
      <c r="D36" s="4"/>
      <c r="E36" s="1" t="s">
        <v>254</v>
      </c>
      <c r="F36" s="55">
        <v>3447</v>
      </c>
      <c r="G36" s="87">
        <v>3688</v>
      </c>
      <c r="H36" s="93">
        <v>3064</v>
      </c>
      <c r="I36" s="96">
        <v>3530</v>
      </c>
      <c r="J36" s="99">
        <v>1891</v>
      </c>
      <c r="K36" s="101">
        <v>1397</v>
      </c>
      <c r="L36" s="105">
        <v>1665</v>
      </c>
      <c r="M36" s="107">
        <v>1611</v>
      </c>
      <c r="N36" s="112">
        <v>1990</v>
      </c>
      <c r="O36" s="133">
        <v>2993</v>
      </c>
      <c r="P36" s="31">
        <v>3367.03</v>
      </c>
      <c r="Q36" s="93">
        <v>2914</v>
      </c>
      <c r="R36" s="8">
        <f t="shared" si="3"/>
        <v>31557.03</v>
      </c>
      <c r="S36" s="1">
        <f t="shared" si="1"/>
        <v>12</v>
      </c>
      <c r="T36" s="31">
        <f t="shared" si="2"/>
        <v>2629.7525000000001</v>
      </c>
    </row>
    <row r="37" spans="3:20">
      <c r="C37" s="42">
        <v>7002801</v>
      </c>
      <c r="D37" s="42"/>
      <c r="E37" s="11" t="s">
        <v>255</v>
      </c>
      <c r="F37" s="114"/>
      <c r="G37" s="116"/>
      <c r="H37" s="119"/>
      <c r="I37" s="120"/>
      <c r="J37" s="123"/>
      <c r="K37" s="124"/>
      <c r="L37" s="127"/>
      <c r="M37" s="128"/>
      <c r="N37" s="130"/>
      <c r="O37" s="134"/>
      <c r="P37" s="136"/>
      <c r="Q37" s="119"/>
      <c r="R37" s="136"/>
      <c r="S37" s="136"/>
      <c r="T37" s="136"/>
    </row>
    <row r="38" spans="3:20">
      <c r="C38" s="4">
        <v>70026</v>
      </c>
      <c r="D38" s="4"/>
      <c r="E38" s="1" t="s">
        <v>256</v>
      </c>
      <c r="F38" s="96">
        <v>12176.88</v>
      </c>
      <c r="G38" s="87">
        <v>9681.1299999999992</v>
      </c>
      <c r="H38" s="93">
        <v>8347.25</v>
      </c>
      <c r="I38" s="96">
        <v>10741.81</v>
      </c>
      <c r="J38" s="99">
        <v>5057.83</v>
      </c>
      <c r="K38" s="101">
        <v>3387.68</v>
      </c>
      <c r="L38" s="105">
        <v>3047.8</v>
      </c>
      <c r="M38" s="107">
        <v>3197.93</v>
      </c>
      <c r="N38" s="112">
        <v>4692.7</v>
      </c>
      <c r="O38" s="133">
        <v>9047.39</v>
      </c>
      <c r="P38" s="31">
        <v>9465.43</v>
      </c>
      <c r="Q38" s="93">
        <v>9514.0400000000009</v>
      </c>
      <c r="R38" s="8">
        <f t="shared" si="3"/>
        <v>88357.87</v>
      </c>
      <c r="S38" s="1">
        <f t="shared" si="1"/>
        <v>12</v>
      </c>
      <c r="T38" s="31">
        <f t="shared" si="2"/>
        <v>7363.1558333333332</v>
      </c>
    </row>
    <row r="39" spans="3:20">
      <c r="C39" s="4">
        <v>70076</v>
      </c>
      <c r="D39" s="4"/>
      <c r="E39" s="1" t="s">
        <v>258</v>
      </c>
      <c r="F39" s="55">
        <v>9153.66</v>
      </c>
      <c r="G39" s="87">
        <v>6779.5</v>
      </c>
      <c r="H39" s="93">
        <v>8382.32</v>
      </c>
      <c r="I39" s="96">
        <v>10575.93</v>
      </c>
      <c r="J39" s="99">
        <v>7897.31</v>
      </c>
      <c r="K39" s="101">
        <v>5106.28</v>
      </c>
      <c r="L39" s="105">
        <v>5415.71</v>
      </c>
      <c r="M39" s="107">
        <v>5232.29</v>
      </c>
      <c r="N39" s="112">
        <v>7278.4</v>
      </c>
      <c r="O39" s="133">
        <v>10187.1</v>
      </c>
      <c r="P39" s="31">
        <v>8343.2999999999993</v>
      </c>
      <c r="Q39" s="93">
        <v>10848.2</v>
      </c>
      <c r="R39" s="8">
        <f t="shared" si="3"/>
        <v>95200</v>
      </c>
      <c r="S39" s="1">
        <f t="shared" si="1"/>
        <v>12</v>
      </c>
      <c r="T39" s="31">
        <f t="shared" si="2"/>
        <v>7933.333333333333</v>
      </c>
    </row>
    <row r="40" spans="3:20">
      <c r="C40" s="42">
        <v>70081</v>
      </c>
      <c r="D40" s="42">
        <v>140</v>
      </c>
      <c r="E40" s="11" t="s">
        <v>259</v>
      </c>
      <c r="F40" s="55">
        <v>38290.36</v>
      </c>
      <c r="G40" s="87">
        <v>25595.599999999999</v>
      </c>
      <c r="H40" s="93">
        <v>38256.120000000003</v>
      </c>
      <c r="I40" s="96">
        <v>41526.46</v>
      </c>
      <c r="J40" s="99">
        <v>22268.92</v>
      </c>
      <c r="K40" s="101">
        <v>17240.419999999998</v>
      </c>
      <c r="L40" s="105">
        <v>18601.400000000001</v>
      </c>
      <c r="M40" s="107">
        <v>22657.84</v>
      </c>
      <c r="N40" s="112">
        <v>33748.36</v>
      </c>
      <c r="O40" s="133">
        <v>45050.44</v>
      </c>
      <c r="P40" s="31">
        <v>36700.18</v>
      </c>
      <c r="Q40" s="93">
        <v>42549.07</v>
      </c>
      <c r="R40" s="8">
        <f t="shared" si="3"/>
        <v>382485.17</v>
      </c>
      <c r="S40" s="1">
        <f t="shared" si="1"/>
        <v>12</v>
      </c>
      <c r="T40" s="31">
        <f t="shared" si="2"/>
        <v>31873.764166666664</v>
      </c>
    </row>
    <row r="41" spans="3:20">
      <c r="C41" s="4">
        <v>70062</v>
      </c>
      <c r="D41" s="4"/>
      <c r="E41" s="1" t="s">
        <v>260</v>
      </c>
      <c r="F41" s="55">
        <v>8375.68</v>
      </c>
      <c r="G41" s="87">
        <v>7291.21</v>
      </c>
      <c r="H41" s="93">
        <v>8627.5499999999993</v>
      </c>
      <c r="I41" s="96">
        <v>10277.719999999999</v>
      </c>
      <c r="J41" s="99">
        <v>7404.74</v>
      </c>
      <c r="K41" s="101">
        <v>5224.05</v>
      </c>
      <c r="L41" s="105">
        <v>5590.19</v>
      </c>
      <c r="M41" s="107">
        <v>6115.66</v>
      </c>
      <c r="N41" s="112">
        <v>8035</v>
      </c>
      <c r="O41" s="133">
        <v>9920.85</v>
      </c>
      <c r="P41" s="31">
        <v>8703.64</v>
      </c>
      <c r="Q41" s="93">
        <v>8472.91</v>
      </c>
      <c r="R41" s="8">
        <f t="shared" si="3"/>
        <v>94039.200000000012</v>
      </c>
      <c r="S41" s="1">
        <f t="shared" si="1"/>
        <v>12</v>
      </c>
      <c r="T41" s="31">
        <f t="shared" si="2"/>
        <v>7836.6000000000013</v>
      </c>
    </row>
    <row r="42" spans="3:20">
      <c r="C42" s="4">
        <v>70063</v>
      </c>
      <c r="D42" s="4"/>
      <c r="E42" s="1" t="s">
        <v>261</v>
      </c>
      <c r="F42" s="55">
        <v>10217.34</v>
      </c>
      <c r="G42" s="87">
        <v>8655.0499999999993</v>
      </c>
      <c r="H42" s="93">
        <v>9911.49</v>
      </c>
      <c r="I42" s="96">
        <v>12013.57</v>
      </c>
      <c r="J42" s="99">
        <v>8617.7999999999993</v>
      </c>
      <c r="K42" s="101">
        <v>6220.98</v>
      </c>
      <c r="L42" s="105">
        <v>7121.75</v>
      </c>
      <c r="M42" s="107">
        <v>8045.58</v>
      </c>
      <c r="N42" s="112">
        <v>9881.1299999999992</v>
      </c>
      <c r="O42" s="133">
        <v>11667.18</v>
      </c>
      <c r="P42" s="31">
        <v>11008.55</v>
      </c>
      <c r="Q42" s="93">
        <v>9299.35</v>
      </c>
      <c r="R42" s="8">
        <f t="shared" si="3"/>
        <v>112659.77</v>
      </c>
      <c r="S42" s="1">
        <f t="shared" si="1"/>
        <v>12</v>
      </c>
      <c r="T42" s="31">
        <f t="shared" si="2"/>
        <v>9388.314166666667</v>
      </c>
    </row>
    <row r="43" spans="3:20">
      <c r="C43" s="4">
        <v>70027</v>
      </c>
      <c r="D43" s="4">
        <v>110</v>
      </c>
      <c r="E43" s="1" t="s">
        <v>262</v>
      </c>
      <c r="F43" s="55">
        <v>139.49</v>
      </c>
      <c r="G43" s="87">
        <v>127.4</v>
      </c>
      <c r="H43" s="93">
        <v>117.73</v>
      </c>
      <c r="I43" s="96">
        <v>76.8</v>
      </c>
      <c r="J43" s="99">
        <v>91.33</v>
      </c>
      <c r="K43" s="105">
        <v>148.72</v>
      </c>
      <c r="L43" s="105">
        <v>103.17</v>
      </c>
      <c r="M43" s="107">
        <v>96.81</v>
      </c>
      <c r="N43" s="112">
        <v>116.04</v>
      </c>
      <c r="O43" s="133">
        <v>146.51</v>
      </c>
      <c r="P43" s="31">
        <v>156</v>
      </c>
      <c r="Q43" s="93">
        <v>156.97</v>
      </c>
      <c r="R43" s="8">
        <f t="shared" si="3"/>
        <v>1476.97</v>
      </c>
      <c r="S43" s="1">
        <f t="shared" si="1"/>
        <v>12</v>
      </c>
      <c r="T43" s="31">
        <f t="shared" si="2"/>
        <v>123.08083333333333</v>
      </c>
    </row>
    <row r="44" spans="3:20">
      <c r="C44" s="4">
        <v>70087</v>
      </c>
      <c r="D44" s="4">
        <v>773</v>
      </c>
      <c r="E44" s="1" t="s">
        <v>109</v>
      </c>
      <c r="F44" s="55">
        <v>1153.08</v>
      </c>
      <c r="G44" s="87">
        <v>614.22</v>
      </c>
      <c r="H44" s="93">
        <v>1958.82</v>
      </c>
      <c r="I44" s="96">
        <v>1440.06</v>
      </c>
      <c r="J44" s="99">
        <v>868.2</v>
      </c>
      <c r="K44" s="101">
        <v>504.18</v>
      </c>
      <c r="L44" s="105">
        <v>255.12</v>
      </c>
      <c r="M44" s="107">
        <v>894.6</v>
      </c>
      <c r="N44" s="112">
        <v>1367.7</v>
      </c>
      <c r="O44" s="133">
        <v>606.48</v>
      </c>
      <c r="P44" s="31">
        <v>691.02</v>
      </c>
      <c r="Q44" s="93">
        <v>827.94</v>
      </c>
      <c r="R44" s="8">
        <f t="shared" si="3"/>
        <v>11181.420000000002</v>
      </c>
      <c r="S44" s="1">
        <f t="shared" si="1"/>
        <v>12</v>
      </c>
      <c r="T44" s="31">
        <f t="shared" si="2"/>
        <v>931.7850000000002</v>
      </c>
    </row>
    <row r="45" spans="3:20">
      <c r="C45" s="4">
        <v>7002901</v>
      </c>
      <c r="D45" s="4">
        <v>121</v>
      </c>
      <c r="E45" s="1" t="s">
        <v>263</v>
      </c>
      <c r="F45" s="55">
        <v>3628.68</v>
      </c>
      <c r="G45" s="87">
        <v>2946.66</v>
      </c>
      <c r="H45" s="93">
        <v>3082.02</v>
      </c>
      <c r="I45" s="96">
        <v>3436.56</v>
      </c>
      <c r="J45" s="99">
        <v>2152.56</v>
      </c>
      <c r="K45" s="105">
        <v>1920</v>
      </c>
      <c r="L45" s="105">
        <v>1712.46</v>
      </c>
      <c r="M45" s="107">
        <v>1697.52</v>
      </c>
      <c r="N45" s="112">
        <v>2389.44</v>
      </c>
      <c r="O45" s="133">
        <v>3414.42</v>
      </c>
      <c r="P45" s="31">
        <v>2925.75</v>
      </c>
      <c r="Q45" s="93">
        <v>2669.38</v>
      </c>
      <c r="R45" s="8">
        <f t="shared" si="3"/>
        <v>31975.45</v>
      </c>
      <c r="S45" s="1">
        <f t="shared" si="1"/>
        <v>12</v>
      </c>
      <c r="T45" s="31">
        <f t="shared" si="2"/>
        <v>2664.6208333333334</v>
      </c>
    </row>
    <row r="46" spans="3:20">
      <c r="C46" s="4">
        <v>70088</v>
      </c>
      <c r="D46" s="4">
        <v>534</v>
      </c>
      <c r="E46" s="1" t="s">
        <v>88</v>
      </c>
      <c r="F46" s="55">
        <v>682.02</v>
      </c>
      <c r="G46" s="87">
        <v>637.41999999999996</v>
      </c>
      <c r="H46" s="93">
        <v>150</v>
      </c>
      <c r="I46" s="96">
        <v>1047.0999999999999</v>
      </c>
      <c r="J46" s="99">
        <v>405.06</v>
      </c>
      <c r="K46" s="101">
        <v>278.66000000000003</v>
      </c>
      <c r="L46" s="105">
        <v>279.77999999999997</v>
      </c>
      <c r="M46" s="107">
        <v>239.6</v>
      </c>
      <c r="N46" s="112">
        <v>274.75</v>
      </c>
      <c r="O46" s="133">
        <v>645.09</v>
      </c>
      <c r="P46" s="31">
        <v>1035.6500000000001</v>
      </c>
      <c r="Q46" s="93">
        <v>608.37</v>
      </c>
      <c r="R46" s="8">
        <f t="shared" si="3"/>
        <v>6283.4999999999991</v>
      </c>
      <c r="S46" s="1">
        <f t="shared" si="1"/>
        <v>12</v>
      </c>
      <c r="T46" s="31">
        <f t="shared" si="2"/>
        <v>523.62499999999989</v>
      </c>
    </row>
    <row r="47" spans="3:20">
      <c r="C47" s="4">
        <v>70030</v>
      </c>
      <c r="D47" s="4">
        <v>134</v>
      </c>
      <c r="E47" s="1" t="s">
        <v>264</v>
      </c>
      <c r="F47" s="55">
        <v>58057.58</v>
      </c>
      <c r="G47" s="87">
        <v>78573.95</v>
      </c>
      <c r="H47" s="93">
        <v>129470.87</v>
      </c>
      <c r="I47" s="96">
        <v>71823.75</v>
      </c>
      <c r="J47" s="99">
        <v>48109.15</v>
      </c>
      <c r="K47" s="101">
        <v>19705.45</v>
      </c>
      <c r="L47" s="105">
        <v>26847.66</v>
      </c>
      <c r="M47" s="107">
        <v>36698.949999999997</v>
      </c>
      <c r="N47" s="112">
        <v>45300.33</v>
      </c>
      <c r="O47" s="133">
        <v>60137.21</v>
      </c>
      <c r="P47" s="31">
        <v>72643.820000000007</v>
      </c>
      <c r="Q47" s="93">
        <v>62100.88</v>
      </c>
      <c r="R47" s="8">
        <f t="shared" si="3"/>
        <v>709469.6</v>
      </c>
      <c r="S47" s="1">
        <f t="shared" si="1"/>
        <v>12</v>
      </c>
      <c r="T47" s="31">
        <f t="shared" si="2"/>
        <v>59122.466666666667</v>
      </c>
    </row>
    <row r="48" spans="3:20">
      <c r="C48" s="4">
        <v>15013835</v>
      </c>
      <c r="D48" s="4">
        <v>4129</v>
      </c>
      <c r="E48" s="1" t="s">
        <v>331</v>
      </c>
      <c r="F48" s="55">
        <v>4295.5600000000004</v>
      </c>
      <c r="G48" s="87">
        <v>3942.84</v>
      </c>
      <c r="H48" s="93">
        <v>4588.9799999999996</v>
      </c>
      <c r="I48" s="96">
        <v>4775.08</v>
      </c>
      <c r="J48" s="99">
        <v>4149.5200000000004</v>
      </c>
      <c r="K48" s="101">
        <v>4426.76</v>
      </c>
      <c r="L48" s="105">
        <v>4240.66</v>
      </c>
      <c r="M48" s="107">
        <v>4041.84</v>
      </c>
      <c r="N48" s="112">
        <v>4587.7</v>
      </c>
      <c r="O48" s="133">
        <v>4714.93</v>
      </c>
      <c r="P48" s="31">
        <v>5009.97</v>
      </c>
      <c r="Q48" s="93">
        <v>4889.4799999999996</v>
      </c>
      <c r="R48" s="8">
        <f t="shared" si="3"/>
        <v>53663.319999999992</v>
      </c>
      <c r="S48" s="1">
        <f t="shared" si="1"/>
        <v>12</v>
      </c>
      <c r="T48" s="31">
        <f t="shared" si="2"/>
        <v>4471.9433333333327</v>
      </c>
    </row>
    <row r="49" spans="3:20">
      <c r="C49" s="4">
        <v>7005102</v>
      </c>
      <c r="D49" s="4">
        <v>111</v>
      </c>
      <c r="E49" s="1" t="s">
        <v>265</v>
      </c>
      <c r="F49" s="55">
        <v>5664.43</v>
      </c>
      <c r="G49" s="87">
        <v>4639.6899999999996</v>
      </c>
      <c r="H49" s="93">
        <v>4963.0200000000004</v>
      </c>
      <c r="I49" s="96">
        <v>6186.23</v>
      </c>
      <c r="J49" s="99">
        <v>4161.42</v>
      </c>
      <c r="K49" s="101">
        <v>3813.36</v>
      </c>
      <c r="L49" s="105">
        <v>3894.32</v>
      </c>
      <c r="M49" s="107">
        <v>4119.55</v>
      </c>
      <c r="N49" s="112">
        <v>5405.58</v>
      </c>
      <c r="O49" s="133">
        <v>6457.74</v>
      </c>
      <c r="P49" s="31">
        <v>5831.04</v>
      </c>
      <c r="Q49" s="93">
        <v>5553.48</v>
      </c>
      <c r="R49" s="8">
        <f t="shared" si="3"/>
        <v>60689.86</v>
      </c>
      <c r="S49" s="1">
        <f t="shared" si="1"/>
        <v>12</v>
      </c>
      <c r="T49" s="31">
        <f t="shared" si="2"/>
        <v>5057.4883333333337</v>
      </c>
    </row>
    <row r="50" spans="3:20">
      <c r="C50" s="4">
        <v>70055</v>
      </c>
      <c r="D50" s="4">
        <v>112</v>
      </c>
      <c r="E50" s="1" t="s">
        <v>266</v>
      </c>
      <c r="F50" s="55">
        <v>6040.78</v>
      </c>
      <c r="G50" s="87">
        <v>5731.97</v>
      </c>
      <c r="H50" s="93">
        <v>5632.99</v>
      </c>
      <c r="I50" s="96">
        <v>6269.57</v>
      </c>
      <c r="J50" s="99">
        <v>4954.74</v>
      </c>
      <c r="K50" s="101">
        <v>4911.62</v>
      </c>
      <c r="L50" s="105">
        <v>3648.04</v>
      </c>
      <c r="M50" s="107">
        <v>3701.57</v>
      </c>
      <c r="N50" s="112">
        <v>5428.4</v>
      </c>
      <c r="O50" s="133">
        <v>6096.91</v>
      </c>
      <c r="P50" s="31">
        <v>5916.76</v>
      </c>
      <c r="Q50" s="93">
        <v>5984.96</v>
      </c>
      <c r="R50" s="8">
        <f t="shared" si="3"/>
        <v>64318.31</v>
      </c>
      <c r="S50" s="1">
        <f t="shared" si="1"/>
        <v>12</v>
      </c>
      <c r="T50" s="31">
        <f t="shared" si="2"/>
        <v>5359.8591666666662</v>
      </c>
    </row>
    <row r="51" spans="3:20">
      <c r="C51" s="4">
        <v>7003101</v>
      </c>
      <c r="D51" s="4">
        <v>113</v>
      </c>
      <c r="E51" s="1" t="s">
        <v>267</v>
      </c>
      <c r="F51" s="55">
        <v>973.56</v>
      </c>
      <c r="G51" s="87">
        <v>1016.88</v>
      </c>
      <c r="H51" s="93">
        <v>839.17</v>
      </c>
      <c r="I51" s="96">
        <v>919.98</v>
      </c>
      <c r="J51" s="99">
        <v>661.8</v>
      </c>
      <c r="K51" s="101">
        <v>588.48</v>
      </c>
      <c r="L51" s="105">
        <v>589.30999999999995</v>
      </c>
      <c r="M51" s="107">
        <v>671.03</v>
      </c>
      <c r="N51" s="112">
        <v>1071.02</v>
      </c>
      <c r="O51" s="133">
        <v>922.57</v>
      </c>
      <c r="P51" s="31">
        <v>937.06</v>
      </c>
      <c r="Q51" s="93">
        <v>1034.21</v>
      </c>
      <c r="R51" s="8">
        <f t="shared" si="3"/>
        <v>10225.07</v>
      </c>
      <c r="S51" s="1">
        <f t="shared" si="1"/>
        <v>12</v>
      </c>
      <c r="T51" s="31">
        <f t="shared" si="2"/>
        <v>852.08916666666664</v>
      </c>
    </row>
    <row r="52" spans="3:20">
      <c r="C52" s="4">
        <v>7003201</v>
      </c>
      <c r="D52" s="4">
        <v>4130</v>
      </c>
      <c r="E52" s="1" t="s">
        <v>330</v>
      </c>
      <c r="F52" s="55">
        <v>533.82000000000005</v>
      </c>
      <c r="G52" s="87">
        <v>2653.74</v>
      </c>
      <c r="H52" s="93">
        <v>4471.5600000000004</v>
      </c>
      <c r="I52" s="96">
        <v>5177.76</v>
      </c>
      <c r="J52" s="99">
        <v>2919.54</v>
      </c>
      <c r="K52" s="105">
        <v>2527.44</v>
      </c>
      <c r="L52" s="105">
        <v>3898.71</v>
      </c>
      <c r="M52" s="107">
        <v>3788.46</v>
      </c>
      <c r="N52" s="112">
        <v>5730.12</v>
      </c>
      <c r="O52" s="133">
        <v>7996.44</v>
      </c>
      <c r="P52" s="31">
        <v>8434.6</v>
      </c>
      <c r="Q52" s="93">
        <v>8738.1</v>
      </c>
      <c r="R52" s="8">
        <f t="shared" si="3"/>
        <v>56870.289999999994</v>
      </c>
      <c r="S52" s="1">
        <f t="shared" si="1"/>
        <v>12</v>
      </c>
      <c r="T52" s="31">
        <f t="shared" si="2"/>
        <v>4739.1908333333331</v>
      </c>
    </row>
    <row r="53" spans="3:20">
      <c r="C53" s="4">
        <v>7008901</v>
      </c>
      <c r="D53" s="4">
        <v>135</v>
      </c>
      <c r="E53" s="1" t="s">
        <v>268</v>
      </c>
      <c r="F53" s="55">
        <v>4866.18</v>
      </c>
      <c r="G53" s="87">
        <v>3119.52</v>
      </c>
      <c r="H53" s="93">
        <v>4684.08</v>
      </c>
      <c r="I53" s="96">
        <v>4519.26</v>
      </c>
      <c r="J53" s="99">
        <f>2631.36+4519.26</f>
        <v>7150.6200000000008</v>
      </c>
      <c r="K53" s="101">
        <v>1848.3</v>
      </c>
      <c r="L53" s="105">
        <v>1704.84</v>
      </c>
      <c r="M53" s="107">
        <v>2135.4</v>
      </c>
      <c r="N53" s="112">
        <v>2691.42</v>
      </c>
      <c r="O53" s="133">
        <v>4688.5200000000004</v>
      </c>
      <c r="P53" s="31">
        <v>3989.64</v>
      </c>
      <c r="Q53" s="93">
        <v>4289.16</v>
      </c>
      <c r="R53" s="8">
        <f t="shared" ref="R53:R75" si="4">+SUM(F53:Q53)</f>
        <v>45686.94</v>
      </c>
      <c r="S53" s="1">
        <f t="shared" ref="S53:S75" si="5">COUNT(F53:Q53)</f>
        <v>12</v>
      </c>
      <c r="T53" s="31">
        <f t="shared" ref="T53:T75" si="6">+R53/S53</f>
        <v>3807.2450000000003</v>
      </c>
    </row>
    <row r="54" spans="3:20">
      <c r="C54" s="4">
        <v>70035</v>
      </c>
      <c r="D54" s="4">
        <v>136</v>
      </c>
      <c r="E54" s="1" t="s">
        <v>350</v>
      </c>
      <c r="F54" s="55">
        <v>39077.82</v>
      </c>
      <c r="G54" s="87">
        <v>26664.62</v>
      </c>
      <c r="H54" s="93">
        <v>34582.17</v>
      </c>
      <c r="I54" s="96">
        <v>51561.86</v>
      </c>
      <c r="J54" s="99">
        <v>33275.64</v>
      </c>
      <c r="K54" s="101">
        <v>25311.43</v>
      </c>
      <c r="L54" s="105">
        <v>23564.66</v>
      </c>
      <c r="M54" s="107">
        <v>31236.85</v>
      </c>
      <c r="N54" s="112">
        <v>57678.9</v>
      </c>
      <c r="O54" s="133">
        <v>53011.51</v>
      </c>
      <c r="P54" s="31">
        <v>50286.43</v>
      </c>
      <c r="Q54" s="93">
        <v>53658.41</v>
      </c>
      <c r="R54" s="8">
        <f t="shared" si="4"/>
        <v>479910.30000000005</v>
      </c>
      <c r="S54" s="1">
        <f t="shared" si="5"/>
        <v>12</v>
      </c>
      <c r="T54" s="31">
        <f t="shared" si="6"/>
        <v>39992.525000000001</v>
      </c>
    </row>
    <row r="55" spans="3:20">
      <c r="C55" s="4">
        <v>7001502</v>
      </c>
      <c r="D55" s="4">
        <v>128</v>
      </c>
      <c r="E55" s="1" t="s">
        <v>270</v>
      </c>
      <c r="F55" s="55">
        <v>7672.91</v>
      </c>
      <c r="G55" s="87">
        <v>6201.29</v>
      </c>
      <c r="H55" s="93">
        <v>6389.94</v>
      </c>
      <c r="I55" s="96">
        <v>6479.35</v>
      </c>
      <c r="J55" s="99">
        <v>3454.25</v>
      </c>
      <c r="K55" s="101">
        <v>2645.8</v>
      </c>
      <c r="L55" s="105">
        <v>2461.6</v>
      </c>
      <c r="M55" s="107">
        <v>2373.71</v>
      </c>
      <c r="N55" s="112">
        <v>5088.84</v>
      </c>
      <c r="O55" s="133">
        <v>7417.74</v>
      </c>
      <c r="P55" s="31">
        <v>6869.45</v>
      </c>
      <c r="Q55" s="93">
        <v>5447.78</v>
      </c>
      <c r="R55" s="8">
        <f t="shared" si="4"/>
        <v>62502.659999999996</v>
      </c>
      <c r="S55" s="1">
        <f t="shared" si="5"/>
        <v>12</v>
      </c>
      <c r="T55" s="31">
        <f t="shared" si="6"/>
        <v>5208.5549999999994</v>
      </c>
    </row>
    <row r="56" spans="3:20">
      <c r="C56" s="4">
        <v>70084</v>
      </c>
      <c r="D56" s="4">
        <v>209</v>
      </c>
      <c r="E56" s="1" t="s">
        <v>271</v>
      </c>
      <c r="F56" s="55">
        <v>4349.59</v>
      </c>
      <c r="G56" s="87">
        <v>3369.5</v>
      </c>
      <c r="H56" s="93">
        <v>2558.3200000000002</v>
      </c>
      <c r="I56" s="96">
        <v>3628.92</v>
      </c>
      <c r="J56" s="99">
        <v>2425.16</v>
      </c>
      <c r="K56" s="101">
        <v>2430.27</v>
      </c>
      <c r="L56" s="105">
        <v>2458.4</v>
      </c>
      <c r="M56" s="107">
        <v>3006.57</v>
      </c>
      <c r="N56" s="112">
        <v>3717.94</v>
      </c>
      <c r="O56" s="133">
        <v>4707.03</v>
      </c>
      <c r="P56" s="31">
        <v>3998.18</v>
      </c>
      <c r="Q56" s="93">
        <v>3664.81</v>
      </c>
      <c r="R56" s="8">
        <f t="shared" si="4"/>
        <v>40314.689999999995</v>
      </c>
      <c r="S56" s="1">
        <f t="shared" si="5"/>
        <v>12</v>
      </c>
      <c r="T56" s="31">
        <f t="shared" si="6"/>
        <v>3359.5574999999994</v>
      </c>
    </row>
    <row r="57" spans="3:20">
      <c r="C57" s="4">
        <v>15012301</v>
      </c>
      <c r="D57" s="4"/>
      <c r="E57" s="1" t="s">
        <v>323</v>
      </c>
      <c r="F57" s="105">
        <v>30</v>
      </c>
      <c r="G57" s="87">
        <v>202.47</v>
      </c>
      <c r="H57" s="96">
        <v>178.71</v>
      </c>
      <c r="I57" s="96">
        <v>151.15</v>
      </c>
      <c r="J57" s="101">
        <v>63.3</v>
      </c>
      <c r="K57" s="101">
        <v>44.33</v>
      </c>
      <c r="L57" s="105">
        <v>221.04</v>
      </c>
      <c r="M57" s="112">
        <f>252.54*0.5</f>
        <v>126.27</v>
      </c>
      <c r="N57" s="112">
        <f>252.54*0.5</f>
        <v>126.27</v>
      </c>
      <c r="O57" s="133">
        <v>250.44</v>
      </c>
      <c r="P57" s="93">
        <v>310.42</v>
      </c>
      <c r="Q57" s="119"/>
      <c r="R57" s="8">
        <f t="shared" si="4"/>
        <v>1704.4</v>
      </c>
      <c r="S57" s="1">
        <f t="shared" si="5"/>
        <v>11</v>
      </c>
      <c r="T57" s="31">
        <f t="shared" si="6"/>
        <v>154.94545454545457</v>
      </c>
    </row>
    <row r="58" spans="3:20">
      <c r="C58" s="4">
        <v>15007129</v>
      </c>
      <c r="D58" s="4"/>
      <c r="E58" s="1" t="s">
        <v>273</v>
      </c>
      <c r="F58" s="55">
        <v>7592.27</v>
      </c>
      <c r="G58" s="87">
        <v>7947.29</v>
      </c>
      <c r="H58" s="93">
        <v>5605.75</v>
      </c>
      <c r="I58" s="96">
        <v>9324.67</v>
      </c>
      <c r="J58" s="99">
        <v>6746.11</v>
      </c>
      <c r="K58" s="101">
        <v>3996.68</v>
      </c>
      <c r="L58" s="105">
        <v>3381.94</v>
      </c>
      <c r="M58" s="107">
        <f>4152.41+7173.08</f>
        <v>11325.49</v>
      </c>
      <c r="N58" s="112">
        <v>4737.3100000000004</v>
      </c>
      <c r="O58" s="133">
        <v>6380.93</v>
      </c>
      <c r="P58" s="31">
        <v>5779.18</v>
      </c>
      <c r="Q58" s="93">
        <v>5383.47</v>
      </c>
      <c r="R58" s="8">
        <f t="shared" si="4"/>
        <v>78201.09</v>
      </c>
      <c r="S58" s="1">
        <f t="shared" si="5"/>
        <v>12</v>
      </c>
      <c r="T58" s="31">
        <f t="shared" si="6"/>
        <v>6516.7574999999997</v>
      </c>
    </row>
    <row r="59" spans="3:20">
      <c r="C59" s="4">
        <v>15013110</v>
      </c>
      <c r="D59" s="4"/>
      <c r="E59" s="1" t="s">
        <v>272</v>
      </c>
      <c r="F59" s="55">
        <v>6868.39</v>
      </c>
      <c r="G59" s="87">
        <v>5764.16</v>
      </c>
      <c r="H59" s="93">
        <v>8530.07</v>
      </c>
      <c r="I59" s="96">
        <v>6124.37</v>
      </c>
      <c r="J59" s="99">
        <v>4318.68</v>
      </c>
      <c r="K59" s="101">
        <v>5375.26</v>
      </c>
      <c r="L59" s="105">
        <v>4954.5600000000004</v>
      </c>
      <c r="M59" s="107">
        <v>5740.25</v>
      </c>
      <c r="N59" s="112">
        <v>6890.52</v>
      </c>
      <c r="O59" s="133">
        <v>8446.0300000000007</v>
      </c>
      <c r="P59" s="31">
        <v>7730.72</v>
      </c>
      <c r="Q59" s="93">
        <v>7294.23</v>
      </c>
      <c r="R59" s="8">
        <f t="shared" si="4"/>
        <v>78037.239999999991</v>
      </c>
      <c r="S59" s="1">
        <f t="shared" si="5"/>
        <v>12</v>
      </c>
      <c r="T59" s="31">
        <f t="shared" si="6"/>
        <v>6503.1033333333326</v>
      </c>
    </row>
    <row r="60" spans="3:20">
      <c r="C60" s="4">
        <v>70082</v>
      </c>
      <c r="D60" s="4"/>
      <c r="E60" s="1" t="s">
        <v>347</v>
      </c>
      <c r="F60" s="55">
        <v>3250.77</v>
      </c>
      <c r="G60" s="99">
        <v>3106.3</v>
      </c>
      <c r="H60" s="93">
        <v>3711.42</v>
      </c>
      <c r="I60" s="96">
        <v>4788.07</v>
      </c>
      <c r="J60" s="99">
        <v>3866.06</v>
      </c>
      <c r="K60" s="101">
        <v>3602.83</v>
      </c>
      <c r="L60" s="105">
        <v>3244.47</v>
      </c>
      <c r="M60" s="107">
        <v>3277.04</v>
      </c>
      <c r="N60" s="112">
        <v>4780.57</v>
      </c>
      <c r="O60" s="133">
        <v>5514.93</v>
      </c>
      <c r="P60" s="31">
        <v>5777.9</v>
      </c>
      <c r="Q60" s="93">
        <v>5818.53</v>
      </c>
      <c r="R60" s="8">
        <f t="shared" si="4"/>
        <v>50738.89</v>
      </c>
      <c r="S60" s="1">
        <f t="shared" si="5"/>
        <v>12</v>
      </c>
      <c r="T60" s="31">
        <f t="shared" si="6"/>
        <v>4228.2408333333333</v>
      </c>
    </row>
    <row r="61" spans="3:20">
      <c r="C61" s="4">
        <v>7004001</v>
      </c>
      <c r="D61" s="4">
        <v>116</v>
      </c>
      <c r="E61" s="1" t="s">
        <v>277</v>
      </c>
      <c r="F61" s="55">
        <v>14026.91</v>
      </c>
      <c r="G61" s="87">
        <v>12890.94</v>
      </c>
      <c r="H61" s="93">
        <v>12493.4</v>
      </c>
      <c r="I61" s="96">
        <v>12733.3</v>
      </c>
      <c r="J61" s="99">
        <v>10501.41</v>
      </c>
      <c r="K61" s="101">
        <v>6992.34</v>
      </c>
      <c r="L61" s="105">
        <v>10061.549999999999</v>
      </c>
      <c r="M61" s="107">
        <v>10740.55</v>
      </c>
      <c r="N61" s="112">
        <v>12574.59</v>
      </c>
      <c r="O61" s="133">
        <v>12835.17</v>
      </c>
      <c r="P61" s="31">
        <v>14348.4</v>
      </c>
      <c r="Q61" s="93">
        <v>13069.22</v>
      </c>
      <c r="R61" s="8">
        <f t="shared" si="4"/>
        <v>143267.78</v>
      </c>
      <c r="S61" s="1">
        <f t="shared" si="5"/>
        <v>12</v>
      </c>
      <c r="T61" s="31">
        <f t="shared" si="6"/>
        <v>11938.981666666667</v>
      </c>
    </row>
    <row r="62" spans="3:20">
      <c r="C62" s="4">
        <v>15003405</v>
      </c>
      <c r="D62" s="4">
        <v>556</v>
      </c>
      <c r="E62" s="1" t="s">
        <v>90</v>
      </c>
      <c r="F62" s="55">
        <v>15867.41</v>
      </c>
      <c r="G62" s="87">
        <v>15184.23</v>
      </c>
      <c r="H62" s="93">
        <v>13611.78</v>
      </c>
      <c r="I62" s="96">
        <v>16146.99</v>
      </c>
      <c r="J62" s="99">
        <v>13220.34</v>
      </c>
      <c r="K62" s="101">
        <v>9635.23</v>
      </c>
      <c r="L62" s="105">
        <v>9321.06</v>
      </c>
      <c r="M62" s="107">
        <v>10646.5</v>
      </c>
      <c r="N62" s="112">
        <v>14753.29</v>
      </c>
      <c r="O62" s="133">
        <v>15389.99</v>
      </c>
      <c r="P62" s="31">
        <v>16005.95</v>
      </c>
      <c r="Q62" s="93">
        <v>16020.26</v>
      </c>
      <c r="R62" s="8">
        <f t="shared" si="4"/>
        <v>165803.03</v>
      </c>
      <c r="S62" s="1">
        <f t="shared" si="5"/>
        <v>12</v>
      </c>
      <c r="T62" s="31">
        <f t="shared" si="6"/>
        <v>13816.919166666667</v>
      </c>
    </row>
    <row r="63" spans="3:20">
      <c r="C63" s="4">
        <v>15005530</v>
      </c>
      <c r="D63" s="4">
        <v>107</v>
      </c>
      <c r="E63" s="1" t="s">
        <v>278</v>
      </c>
      <c r="F63" s="55">
        <v>1061.0899999999999</v>
      </c>
      <c r="G63" s="87">
        <v>1307.74</v>
      </c>
      <c r="H63" s="93">
        <v>1493.02</v>
      </c>
      <c r="I63" s="96">
        <v>1807.63</v>
      </c>
      <c r="J63" s="99">
        <v>1061.56</v>
      </c>
      <c r="K63" s="101">
        <v>448.26</v>
      </c>
      <c r="L63" s="105">
        <v>391.11</v>
      </c>
      <c r="M63" s="107">
        <v>345.08</v>
      </c>
      <c r="N63" s="112">
        <v>677.89</v>
      </c>
      <c r="O63" s="133">
        <v>1446.28</v>
      </c>
      <c r="P63" s="31">
        <v>975.5</v>
      </c>
      <c r="Q63" s="93">
        <v>1196.08</v>
      </c>
      <c r="R63" s="8">
        <f t="shared" si="4"/>
        <v>12211.24</v>
      </c>
      <c r="S63" s="1">
        <f t="shared" si="5"/>
        <v>12</v>
      </c>
      <c r="T63" s="31">
        <f t="shared" si="6"/>
        <v>1017.6033333333334</v>
      </c>
    </row>
    <row r="64" spans="3:20">
      <c r="C64" s="42">
        <v>70080</v>
      </c>
      <c r="D64" s="42">
        <v>118</v>
      </c>
      <c r="E64" s="11" t="s">
        <v>280</v>
      </c>
      <c r="F64" s="55">
        <v>3114.15</v>
      </c>
      <c r="G64" s="87">
        <v>2642.55</v>
      </c>
      <c r="H64" s="93">
        <v>3216.7</v>
      </c>
      <c r="I64" s="96">
        <v>5172.16</v>
      </c>
      <c r="J64" s="99">
        <v>2292.86</v>
      </c>
      <c r="K64" s="101">
        <v>1881.7</v>
      </c>
      <c r="L64" s="105">
        <v>1683.85</v>
      </c>
      <c r="M64" s="107">
        <v>1572.9</v>
      </c>
      <c r="N64" s="112">
        <v>3484.53</v>
      </c>
      <c r="O64" s="133">
        <v>3793.1</v>
      </c>
      <c r="P64" s="31">
        <v>3933.3</v>
      </c>
      <c r="Q64" s="93">
        <v>4686.0600000000004</v>
      </c>
      <c r="R64" s="8">
        <f t="shared" si="4"/>
        <v>37473.86</v>
      </c>
      <c r="S64" s="1">
        <f t="shared" si="5"/>
        <v>12</v>
      </c>
      <c r="T64" s="31">
        <f t="shared" si="6"/>
        <v>3122.8216666666667</v>
      </c>
    </row>
    <row r="65" spans="1:20">
      <c r="C65" s="4">
        <v>70046</v>
      </c>
      <c r="D65" s="4">
        <v>119</v>
      </c>
      <c r="E65" s="1" t="s">
        <v>281</v>
      </c>
      <c r="F65" s="55">
        <v>731.5</v>
      </c>
      <c r="G65" s="87">
        <v>733.29</v>
      </c>
      <c r="H65" s="93">
        <v>729.72</v>
      </c>
      <c r="I65" s="96">
        <v>761.1</v>
      </c>
      <c r="J65" s="99">
        <v>718.86</v>
      </c>
      <c r="K65" s="101">
        <v>639.64</v>
      </c>
      <c r="L65" s="105">
        <v>668.82</v>
      </c>
      <c r="M65" s="107">
        <v>608.46</v>
      </c>
      <c r="N65" s="112">
        <v>727.32</v>
      </c>
      <c r="O65" s="133">
        <v>725.46</v>
      </c>
      <c r="P65" s="31">
        <v>839.82</v>
      </c>
      <c r="Q65" s="93">
        <v>677.22</v>
      </c>
      <c r="R65" s="8">
        <f t="shared" si="4"/>
        <v>8561.2099999999991</v>
      </c>
      <c r="S65" s="1">
        <f t="shared" si="5"/>
        <v>12</v>
      </c>
      <c r="T65" s="31">
        <f t="shared" si="6"/>
        <v>713.43416666666656</v>
      </c>
    </row>
    <row r="66" spans="1:20">
      <c r="C66" s="4">
        <v>15003403</v>
      </c>
      <c r="D66" s="4">
        <v>568</v>
      </c>
      <c r="E66" s="1" t="s">
        <v>91</v>
      </c>
      <c r="F66" s="55">
        <v>16099.97</v>
      </c>
      <c r="G66" s="87">
        <v>12846.44</v>
      </c>
      <c r="H66" s="93">
        <v>15117.78</v>
      </c>
      <c r="I66" s="96">
        <v>18828.05</v>
      </c>
      <c r="J66" s="99">
        <v>10629.24</v>
      </c>
      <c r="K66" s="101">
        <v>7620.39</v>
      </c>
      <c r="L66" s="105">
        <v>9361.83</v>
      </c>
      <c r="M66" s="107">
        <v>10251.459999999999</v>
      </c>
      <c r="N66" s="112">
        <v>14298.05</v>
      </c>
      <c r="O66" s="133">
        <v>18091.28</v>
      </c>
      <c r="P66" s="31">
        <v>13981.43</v>
      </c>
      <c r="Q66" s="93">
        <v>15265.39</v>
      </c>
      <c r="R66" s="8">
        <f t="shared" si="4"/>
        <v>162391.31</v>
      </c>
      <c r="S66" s="1">
        <f t="shared" si="5"/>
        <v>12</v>
      </c>
      <c r="T66" s="31">
        <f t="shared" si="6"/>
        <v>13532.609166666667</v>
      </c>
    </row>
    <row r="67" spans="1:20">
      <c r="C67" s="4">
        <v>70054</v>
      </c>
      <c r="D67" s="4"/>
      <c r="E67" s="1" t="s">
        <v>282</v>
      </c>
      <c r="F67" s="114"/>
      <c r="G67" s="116"/>
      <c r="H67" s="119"/>
      <c r="I67" s="120"/>
      <c r="J67" s="123"/>
      <c r="K67" s="124"/>
      <c r="L67" s="127"/>
      <c r="M67" s="128"/>
      <c r="N67" s="130"/>
      <c r="O67" s="134"/>
      <c r="P67" s="136"/>
      <c r="Q67" s="119"/>
      <c r="R67" s="136"/>
      <c r="S67" s="136"/>
      <c r="T67" s="136"/>
    </row>
    <row r="68" spans="1:20">
      <c r="C68" s="4">
        <v>70048</v>
      </c>
      <c r="D68" s="4"/>
      <c r="E68" s="1" t="s">
        <v>283</v>
      </c>
      <c r="F68" s="55">
        <v>3047.87</v>
      </c>
      <c r="G68" s="87">
        <v>2093.83</v>
      </c>
      <c r="H68" s="93">
        <v>2871.82</v>
      </c>
      <c r="I68" s="96">
        <v>3569.7</v>
      </c>
      <c r="J68" s="99">
        <v>2622.05</v>
      </c>
      <c r="K68" s="101">
        <v>2150.16</v>
      </c>
      <c r="L68" s="105">
        <v>1571.5</v>
      </c>
      <c r="M68" s="107">
        <v>1398.99</v>
      </c>
      <c r="N68" s="112">
        <v>1734.35</v>
      </c>
      <c r="O68" s="133">
        <v>2069.9699999999998</v>
      </c>
      <c r="P68" s="31">
        <v>2473.87</v>
      </c>
      <c r="Q68" s="93">
        <v>2708.89</v>
      </c>
      <c r="R68" s="8">
        <f t="shared" si="4"/>
        <v>28313</v>
      </c>
      <c r="S68" s="1">
        <f t="shared" si="5"/>
        <v>12</v>
      </c>
      <c r="T68" s="31">
        <f t="shared" si="6"/>
        <v>2359.4166666666665</v>
      </c>
    </row>
    <row r="69" spans="1:20">
      <c r="C69" s="4">
        <v>70052</v>
      </c>
      <c r="D69" s="4"/>
      <c r="E69" s="1" t="s">
        <v>284</v>
      </c>
      <c r="F69" s="55">
        <v>4427.1499999999996</v>
      </c>
      <c r="G69" s="87">
        <v>3759.43</v>
      </c>
      <c r="H69" s="93">
        <v>4251.84</v>
      </c>
      <c r="I69" s="96">
        <v>4804.21</v>
      </c>
      <c r="J69" s="99">
        <v>3612.83</v>
      </c>
      <c r="K69" s="101">
        <v>2603.5100000000002</v>
      </c>
      <c r="L69" s="105">
        <v>2424.41</v>
      </c>
      <c r="M69" s="107">
        <v>2054.5700000000002</v>
      </c>
      <c r="N69" s="112">
        <v>3054.01</v>
      </c>
      <c r="O69" s="133">
        <v>3817.65</v>
      </c>
      <c r="P69" s="31">
        <v>3207.35</v>
      </c>
      <c r="Q69" s="93">
        <v>3979.42</v>
      </c>
      <c r="R69" s="8">
        <f t="shared" si="4"/>
        <v>41996.38</v>
      </c>
      <c r="S69" s="1">
        <f t="shared" si="5"/>
        <v>12</v>
      </c>
      <c r="T69" s="31">
        <f t="shared" si="6"/>
        <v>3499.6983333333333</v>
      </c>
    </row>
    <row r="70" spans="1:20">
      <c r="C70" s="4">
        <v>70049</v>
      </c>
      <c r="D70" s="4">
        <v>120</v>
      </c>
      <c r="E70" s="1" t="s">
        <v>285</v>
      </c>
      <c r="F70" s="114"/>
      <c r="G70" s="116"/>
      <c r="H70" s="93">
        <v>204</v>
      </c>
      <c r="I70" s="101">
        <v>240</v>
      </c>
      <c r="J70" s="101">
        <v>239.47</v>
      </c>
      <c r="K70" s="101">
        <v>241.8</v>
      </c>
      <c r="L70" s="105">
        <v>1571.5</v>
      </c>
      <c r="M70" s="112">
        <f>666.9*0.5</f>
        <v>333.45</v>
      </c>
      <c r="N70" s="112">
        <f>666.9*0.5</f>
        <v>333.45</v>
      </c>
      <c r="O70" s="31"/>
      <c r="P70" s="93">
        <v>723</v>
      </c>
      <c r="Q70" s="119"/>
      <c r="R70" s="8">
        <f t="shared" si="4"/>
        <v>3886.6699999999996</v>
      </c>
      <c r="S70" s="1">
        <f t="shared" si="5"/>
        <v>8</v>
      </c>
      <c r="T70" s="31">
        <f t="shared" si="6"/>
        <v>485.83374999999995</v>
      </c>
    </row>
    <row r="71" spans="1:20">
      <c r="C71" s="4">
        <v>70071</v>
      </c>
      <c r="D71" s="4">
        <v>180</v>
      </c>
      <c r="E71" s="1" t="s">
        <v>286</v>
      </c>
      <c r="F71" s="55">
        <v>344.09</v>
      </c>
      <c r="G71" s="87">
        <v>528.36</v>
      </c>
      <c r="H71" s="93">
        <v>559.62</v>
      </c>
      <c r="I71" s="96">
        <v>1246.6199999999999</v>
      </c>
      <c r="J71" s="99">
        <v>365.22</v>
      </c>
      <c r="K71" s="101">
        <v>10.11</v>
      </c>
      <c r="L71" s="105">
        <v>85.38</v>
      </c>
      <c r="M71" s="107">
        <v>67.739999999999995</v>
      </c>
      <c r="N71" s="112">
        <v>175.02</v>
      </c>
      <c r="O71" s="133">
        <v>919.62</v>
      </c>
      <c r="P71" s="31">
        <v>506.1</v>
      </c>
      <c r="Q71" s="93">
        <v>203.22</v>
      </c>
      <c r="R71" s="8">
        <f t="shared" si="4"/>
        <v>5011.1000000000004</v>
      </c>
      <c r="S71" s="1">
        <f t="shared" si="5"/>
        <v>12</v>
      </c>
      <c r="T71" s="31">
        <f t="shared" si="6"/>
        <v>417.5916666666667</v>
      </c>
    </row>
    <row r="72" spans="1:20">
      <c r="C72" s="4">
        <v>70098</v>
      </c>
      <c r="D72" s="4"/>
      <c r="E72" s="1" t="s">
        <v>113</v>
      </c>
      <c r="F72" s="55">
        <v>386</v>
      </c>
      <c r="G72" s="87">
        <v>159.5</v>
      </c>
      <c r="H72" s="119"/>
      <c r="I72" s="96">
        <v>178.15</v>
      </c>
      <c r="J72" s="99">
        <v>45</v>
      </c>
      <c r="K72" s="101">
        <v>98.64</v>
      </c>
      <c r="L72" s="127"/>
      <c r="M72" s="128"/>
      <c r="N72" s="112">
        <v>81.13</v>
      </c>
      <c r="O72" s="133">
        <v>222.79</v>
      </c>
      <c r="P72" s="31">
        <v>219.24</v>
      </c>
      <c r="Q72" s="93">
        <v>194.45</v>
      </c>
      <c r="R72" s="8">
        <f t="shared" si="4"/>
        <v>1584.9</v>
      </c>
      <c r="S72" s="1">
        <f t="shared" si="5"/>
        <v>9</v>
      </c>
      <c r="T72" s="31">
        <f t="shared" si="6"/>
        <v>176.10000000000002</v>
      </c>
    </row>
    <row r="73" spans="1:20">
      <c r="C73" s="4">
        <v>70001</v>
      </c>
      <c r="D73" s="4">
        <v>125</v>
      </c>
      <c r="E73" s="1" t="s">
        <v>287</v>
      </c>
      <c r="F73" s="87">
        <v>31302.57</v>
      </c>
      <c r="G73" s="87">
        <v>19567.73</v>
      </c>
      <c r="H73" s="93">
        <v>28390.09</v>
      </c>
      <c r="I73" s="96">
        <v>34210.06</v>
      </c>
      <c r="J73" s="99">
        <f>20925.95+15000</f>
        <v>35925.949999999997</v>
      </c>
      <c r="K73" s="101">
        <v>15000</v>
      </c>
      <c r="L73" s="105">
        <f>9170.88+11823.03+10826.66</f>
        <v>31820.57</v>
      </c>
      <c r="M73" s="107">
        <v>14112.04</v>
      </c>
      <c r="N73" s="112">
        <v>21926.02</v>
      </c>
      <c r="O73" s="133">
        <v>32059.94</v>
      </c>
      <c r="P73" s="31">
        <f>20868.08+20868.08</f>
        <v>41736.160000000003</v>
      </c>
      <c r="Q73" s="93">
        <v>21352.94</v>
      </c>
      <c r="R73" s="8">
        <f t="shared" si="4"/>
        <v>327404.07</v>
      </c>
      <c r="S73" s="1">
        <f t="shared" si="5"/>
        <v>12</v>
      </c>
      <c r="T73" s="31">
        <f t="shared" si="6"/>
        <v>27283.672500000001</v>
      </c>
    </row>
    <row r="74" spans="1:20">
      <c r="C74" s="42">
        <v>7007701</v>
      </c>
      <c r="D74" s="42">
        <v>122</v>
      </c>
      <c r="E74" s="11" t="s">
        <v>98</v>
      </c>
      <c r="F74" s="55">
        <v>6712.32</v>
      </c>
      <c r="G74" s="87">
        <v>5526.31</v>
      </c>
      <c r="H74" s="93">
        <v>7491.34</v>
      </c>
      <c r="I74" s="96">
        <v>8943.36</v>
      </c>
      <c r="J74" s="99">
        <v>6740.5</v>
      </c>
      <c r="K74" s="101">
        <v>4684.68</v>
      </c>
      <c r="L74" s="105">
        <v>5440.32</v>
      </c>
      <c r="M74" s="107">
        <v>6007.49</v>
      </c>
      <c r="N74" s="112">
        <v>7095.93</v>
      </c>
      <c r="O74" s="133">
        <v>9181.16</v>
      </c>
      <c r="P74" s="31">
        <v>8562.09</v>
      </c>
      <c r="Q74" s="93">
        <v>6473.64</v>
      </c>
      <c r="R74" s="8">
        <f t="shared" si="4"/>
        <v>82859.14</v>
      </c>
      <c r="S74" s="1">
        <f t="shared" si="5"/>
        <v>12</v>
      </c>
      <c r="T74" s="31">
        <f t="shared" si="6"/>
        <v>6904.9283333333333</v>
      </c>
    </row>
    <row r="75" spans="1:20">
      <c r="A75" s="22"/>
      <c r="B75" s="22"/>
      <c r="C75" s="51">
        <v>70094</v>
      </c>
      <c r="D75" s="51"/>
      <c r="E75" s="52" t="s">
        <v>95</v>
      </c>
      <c r="F75" s="91">
        <v>415.26</v>
      </c>
      <c r="G75" s="90">
        <v>251.04</v>
      </c>
      <c r="H75" s="94">
        <v>163.77000000000001</v>
      </c>
      <c r="I75" s="97">
        <v>198.66</v>
      </c>
      <c r="J75" s="100">
        <v>199.38</v>
      </c>
      <c r="K75" s="103">
        <v>414.96</v>
      </c>
      <c r="L75" s="106">
        <v>148.32</v>
      </c>
      <c r="M75" s="108">
        <v>165.6</v>
      </c>
      <c r="N75" s="113">
        <v>288.72000000000003</v>
      </c>
      <c r="O75" s="135">
        <v>350.22</v>
      </c>
      <c r="P75" s="34">
        <v>134.52000000000001</v>
      </c>
      <c r="Q75" s="94">
        <v>147.78</v>
      </c>
      <c r="R75" s="33">
        <f t="shared" si="4"/>
        <v>2878.2300000000005</v>
      </c>
      <c r="S75" s="22">
        <f t="shared" si="5"/>
        <v>12</v>
      </c>
      <c r="T75" s="34">
        <f t="shared" si="6"/>
        <v>239.85250000000005</v>
      </c>
    </row>
    <row r="76" spans="1:20">
      <c r="F76" s="31"/>
      <c r="G76" s="31"/>
      <c r="H76" s="31"/>
      <c r="I76" s="31"/>
      <c r="J76" s="31"/>
      <c r="K76" s="31"/>
      <c r="L76" s="31"/>
    </row>
    <row r="77" spans="1:20">
      <c r="E77" s="1" t="s">
        <v>140</v>
      </c>
      <c r="F77" s="31">
        <f>+SUM(F2:F75)</f>
        <v>687647.73</v>
      </c>
      <c r="G77" s="31">
        <f t="shared" ref="G77:L77" si="7">+SUM(G2:G75)</f>
        <v>606034.18999999994</v>
      </c>
      <c r="H77" s="31">
        <f t="shared" si="7"/>
        <v>715250.08999999985</v>
      </c>
      <c r="I77" s="31">
        <f t="shared" si="7"/>
        <v>777343.52</v>
      </c>
      <c r="J77" s="31">
        <f t="shared" si="7"/>
        <v>506531.42999999988</v>
      </c>
      <c r="K77" s="31">
        <f t="shared" si="7"/>
        <v>370065.71000000008</v>
      </c>
      <c r="L77" s="31">
        <f t="shared" si="7"/>
        <v>406769.24999999988</v>
      </c>
      <c r="M77" s="31">
        <f>SUM(M3:M75)</f>
        <v>456411.6100000001</v>
      </c>
      <c r="N77" s="31">
        <f>SUM(N2:N75)</f>
        <v>633064.03000000014</v>
      </c>
      <c r="O77" s="31">
        <f>+SUM(O2:O75)</f>
        <v>778737.42</v>
      </c>
      <c r="P77" s="31">
        <f>+SUM(P2:P75)-P70-P57-P23</f>
        <v>729186.03000000026</v>
      </c>
      <c r="Q77" s="31">
        <f>SUM(Q2:Q75)</f>
        <v>710638.60999999987</v>
      </c>
      <c r="R77" s="31">
        <f>SUM(R3:R75)</f>
        <v>7399063.9000000013</v>
      </c>
      <c r="T77" s="31">
        <f>+R77/10</f>
        <v>739906.39000000013</v>
      </c>
    </row>
    <row r="78" spans="1:20" hidden="1">
      <c r="E78" s="1" t="s">
        <v>348</v>
      </c>
      <c r="F78" s="68">
        <f>-F2-F3-F6-F4-F15-F29-F32-F33-F34-F37-F38-F57-F67-F70-F73</f>
        <v>-106189.16</v>
      </c>
      <c r="G78" s="68">
        <f>-G2-G3-G6-G4-G15-G23-G29-G32-G37-G60-G67-G70</f>
        <v>-48185.44000000001</v>
      </c>
      <c r="H78" s="68">
        <f>-H2-H3-H6-H4-H15-H29-H32-H37-H57-H67-H72</f>
        <v>-29778.799999999999</v>
      </c>
      <c r="I78" s="70">
        <f>-I2-I3-I6-I4-I9-I15-I23-I29-I37-I67-I70</f>
        <v>-37005.07</v>
      </c>
      <c r="J78" s="8">
        <f>-J25-J57-J70</f>
        <v>-11520.64</v>
      </c>
      <c r="K78" s="8">
        <f>-K43-K45-K52</f>
        <v>-4596.16</v>
      </c>
      <c r="L78" s="8"/>
      <c r="M78" s="31"/>
      <c r="N78" s="31"/>
      <c r="O78" s="31"/>
      <c r="P78" s="31"/>
    </row>
    <row r="79" spans="1:20" hidden="1">
      <c r="E79" s="1" t="s">
        <v>349</v>
      </c>
      <c r="F79" s="70">
        <f>+'2009'!P3+'2009'!P5+'2009'!P28+'2009'!N32+'2009'!N33+'2009'!K72</f>
        <v>56315.75</v>
      </c>
      <c r="G79" s="70">
        <f>+'2009'!P4+'2009'!M31+'2009'!O33+'2009'!L72+'2009'!P72+F3+F4+F29+F73</f>
        <v>111191.87</v>
      </c>
      <c r="H79" s="8">
        <f>+'2009'!P33+'2009'!M72+'2010'!F6+'2010'!F34+'2010'!G6+'2010'!G4+'2010'!G23+'2010'!G29</f>
        <v>71295.320000000007</v>
      </c>
      <c r="I79" s="8">
        <f>++'2009'!N31+'2009'!O31+'2009'!O32+'2009'!P32+'2009'!N72+'2010'!F33+'2010'!F38+'2010'!G3+'2010'!G32+'2010'!H3+'2010'!H4+'2010'!H29+'2010'!H57</f>
        <v>115729.3</v>
      </c>
      <c r="J79" s="8">
        <f>+'2009'!P31+'2010'!F32+'2010'!G60+'2010'!I3+'2010'!I4+'2010'!I9+'2010'!I29</f>
        <v>57637.03</v>
      </c>
      <c r="K79" s="8">
        <f>+J25+J57+I70+J70</f>
        <v>11760.64</v>
      </c>
      <c r="L79" s="8">
        <f>+F57+K6+K11+K43+K45+K52</f>
        <v>11675.97</v>
      </c>
      <c r="M79" s="8"/>
      <c r="N79" s="8">
        <f>+I23+H32+M57+M70</f>
        <v>17540.810000000001</v>
      </c>
      <c r="O79" s="8"/>
      <c r="P79" s="8"/>
      <c r="Q79" s="8">
        <f>+P70+P57+P23</f>
        <v>21504.699999999997</v>
      </c>
    </row>
    <row r="80" spans="1:20" hidden="1">
      <c r="E80" s="1" t="s">
        <v>301</v>
      </c>
      <c r="F80" s="69">
        <f>+SUM(F77:F79)</f>
        <v>637774.31999999995</v>
      </c>
      <c r="G80" s="69">
        <f t="shared" ref="G80:N80" si="8">+SUM(G77:G79)</f>
        <v>669040.61999999988</v>
      </c>
      <c r="H80" s="69">
        <f t="shared" si="8"/>
        <v>756766.60999999987</v>
      </c>
      <c r="I80" s="69">
        <f t="shared" si="8"/>
        <v>856067.75000000012</v>
      </c>
      <c r="J80" s="69">
        <f t="shared" si="8"/>
        <v>552647.81999999983</v>
      </c>
      <c r="K80" s="69">
        <f>+SUM(K77:K79)</f>
        <v>377230.19000000012</v>
      </c>
      <c r="L80" s="69">
        <f t="shared" si="8"/>
        <v>418445.21999999986</v>
      </c>
      <c r="M80" s="69">
        <f>+M77-M78+M79</f>
        <v>456411.6100000001</v>
      </c>
      <c r="N80" s="69">
        <f t="shared" si="8"/>
        <v>650604.8400000002</v>
      </c>
      <c r="O80" s="69">
        <f>+O77</f>
        <v>778737.42</v>
      </c>
      <c r="P80" s="69">
        <f>+SUM(P77:P79)</f>
        <v>729186.03000000026</v>
      </c>
      <c r="Q80" s="69">
        <f>+Q77+Q79</f>
        <v>732143.30999999982</v>
      </c>
    </row>
    <row r="81" spans="3:18" hidden="1">
      <c r="E81" s="67" t="s">
        <v>304</v>
      </c>
      <c r="F81" s="68">
        <f t="shared" ref="F81:Q81" si="9">+F80/6*4</f>
        <v>425182.87999999995</v>
      </c>
      <c r="G81" s="68">
        <f t="shared" si="9"/>
        <v>446027.0799999999</v>
      </c>
      <c r="H81" s="68">
        <f t="shared" si="9"/>
        <v>504511.07333333325</v>
      </c>
      <c r="I81" s="68">
        <f t="shared" si="9"/>
        <v>570711.83333333337</v>
      </c>
      <c r="J81" s="68">
        <f t="shared" si="9"/>
        <v>368431.87999999989</v>
      </c>
      <c r="K81" s="68">
        <f t="shared" si="9"/>
        <v>251486.79333333342</v>
      </c>
      <c r="L81" s="68">
        <f t="shared" si="9"/>
        <v>278963.47999999992</v>
      </c>
      <c r="M81" s="68">
        <f t="shared" si="9"/>
        <v>304274.40666666673</v>
      </c>
      <c r="N81" s="68">
        <f t="shared" si="9"/>
        <v>433736.56000000011</v>
      </c>
      <c r="O81" s="68">
        <f t="shared" si="9"/>
        <v>519158.28</v>
      </c>
      <c r="P81" s="68">
        <f t="shared" si="9"/>
        <v>486124.02000000019</v>
      </c>
      <c r="Q81" s="68">
        <f t="shared" si="9"/>
        <v>488095.53999999986</v>
      </c>
    </row>
    <row r="82" spans="3:18" hidden="1">
      <c r="E82" s="67" t="s">
        <v>305</v>
      </c>
      <c r="F82" s="68">
        <f t="shared" ref="F82:Q82" si="10">+F80/6*2</f>
        <v>212591.43999999997</v>
      </c>
      <c r="G82" s="68">
        <f t="shared" si="10"/>
        <v>223013.53999999995</v>
      </c>
      <c r="H82" s="68">
        <f t="shared" si="10"/>
        <v>252255.53666666662</v>
      </c>
      <c r="I82" s="68">
        <f t="shared" si="10"/>
        <v>285355.91666666669</v>
      </c>
      <c r="J82" s="68">
        <f t="shared" si="10"/>
        <v>184215.93999999994</v>
      </c>
      <c r="K82" s="68">
        <f t="shared" si="10"/>
        <v>125743.39666666671</v>
      </c>
      <c r="L82" s="68">
        <f t="shared" si="10"/>
        <v>139481.73999999996</v>
      </c>
      <c r="M82" s="68">
        <f t="shared" si="10"/>
        <v>152137.20333333337</v>
      </c>
      <c r="N82" s="68">
        <f t="shared" si="10"/>
        <v>216868.28000000006</v>
      </c>
      <c r="O82" s="68">
        <f t="shared" si="10"/>
        <v>259579.14</v>
      </c>
      <c r="P82" s="68">
        <f t="shared" si="10"/>
        <v>243062.0100000001</v>
      </c>
      <c r="Q82" s="68">
        <f t="shared" si="10"/>
        <v>244047.76999999993</v>
      </c>
    </row>
    <row r="83" spans="3:18" hidden="1">
      <c r="E83" s="1" t="s">
        <v>302</v>
      </c>
      <c r="F83" s="68">
        <f t="shared" ref="F83:Q83" si="11">+F82*0.01</f>
        <v>2125.9143999999997</v>
      </c>
      <c r="G83" s="68">
        <f t="shared" si="11"/>
        <v>2230.1353999999997</v>
      </c>
      <c r="H83" s="68">
        <f t="shared" si="11"/>
        <v>2522.5553666666665</v>
      </c>
      <c r="I83" s="68">
        <f t="shared" si="11"/>
        <v>2853.5591666666669</v>
      </c>
      <c r="J83" s="68">
        <f t="shared" si="11"/>
        <v>1842.1593999999996</v>
      </c>
      <c r="K83" s="68">
        <f t="shared" si="11"/>
        <v>1257.4339666666672</v>
      </c>
      <c r="L83" s="68">
        <f t="shared" si="11"/>
        <v>1394.8173999999997</v>
      </c>
      <c r="M83" s="68">
        <f t="shared" si="11"/>
        <v>1521.3720333333338</v>
      </c>
      <c r="N83" s="68">
        <f t="shared" si="11"/>
        <v>2168.6828000000005</v>
      </c>
      <c r="O83" s="68">
        <f t="shared" si="11"/>
        <v>2595.7914000000001</v>
      </c>
      <c r="P83" s="68">
        <f t="shared" si="11"/>
        <v>2430.620100000001</v>
      </c>
      <c r="Q83" s="68">
        <f t="shared" si="11"/>
        <v>2440.4776999999995</v>
      </c>
    </row>
    <row r="84" spans="3:18" hidden="1">
      <c r="E84" s="1" t="s">
        <v>303</v>
      </c>
      <c r="F84" s="71">
        <f t="shared" ref="F84:Q84" si="12">+F81-F83</f>
        <v>423056.96559999994</v>
      </c>
      <c r="G84" s="71">
        <f t="shared" si="12"/>
        <v>443796.94459999987</v>
      </c>
      <c r="H84" s="71">
        <f t="shared" si="12"/>
        <v>501988.51796666661</v>
      </c>
      <c r="I84" s="71">
        <f t="shared" si="12"/>
        <v>567858.27416666667</v>
      </c>
      <c r="J84" s="71">
        <f t="shared" si="12"/>
        <v>366589.72059999988</v>
      </c>
      <c r="K84" s="71">
        <f t="shared" si="12"/>
        <v>250229.35936666676</v>
      </c>
      <c r="L84" s="71">
        <f t="shared" si="12"/>
        <v>277568.66259999992</v>
      </c>
      <c r="M84" s="71">
        <f t="shared" si="12"/>
        <v>302753.03463333339</v>
      </c>
      <c r="N84" s="71">
        <f t="shared" si="12"/>
        <v>431567.8772000001</v>
      </c>
      <c r="O84" s="71">
        <f t="shared" si="12"/>
        <v>516562.48860000004</v>
      </c>
      <c r="P84" s="71">
        <f t="shared" si="12"/>
        <v>483693.39990000019</v>
      </c>
      <c r="Q84" s="71">
        <f t="shared" si="12"/>
        <v>485655.06229999987</v>
      </c>
      <c r="R84" s="70"/>
    </row>
    <row r="85" spans="3:18" hidden="1"/>
    <row r="86" spans="3:18" hidden="1">
      <c r="F86" s="70">
        <f>+SUM(F82:F84)</f>
        <v>637774.31999999995</v>
      </c>
      <c r="G86" s="70">
        <f>+SUM(G82:G84)</f>
        <v>669040.61999999988</v>
      </c>
      <c r="H86" s="70">
        <f>+SUM(H82:H84)</f>
        <v>756766.60999999987</v>
      </c>
      <c r="I86" s="8">
        <f t="shared" ref="I86:Q86" si="13">+I77+H43+H49+H55</f>
        <v>788814.21</v>
      </c>
      <c r="J86" s="8">
        <f t="shared" si="13"/>
        <v>519273.80999999982</v>
      </c>
      <c r="K86" s="8">
        <f t="shared" si="13"/>
        <v>377772.71000000008</v>
      </c>
      <c r="L86" s="8">
        <f t="shared" si="13"/>
        <v>413377.12999999983</v>
      </c>
      <c r="M86" s="8">
        <f t="shared" si="13"/>
        <v>462870.70000000007</v>
      </c>
      <c r="N86" s="8">
        <f t="shared" si="13"/>
        <v>639654.10000000021</v>
      </c>
      <c r="O86" s="8">
        <f t="shared" si="13"/>
        <v>789347.88</v>
      </c>
      <c r="P86" s="8">
        <f t="shared" si="13"/>
        <v>743208.02000000025</v>
      </c>
      <c r="Q86" s="8">
        <f t="shared" si="13"/>
        <v>723495.09999999986</v>
      </c>
    </row>
    <row r="88" spans="3:18" s="137" customFormat="1">
      <c r="C88" s="137" t="s">
        <v>390</v>
      </c>
      <c r="F88" s="137">
        <v>12863592</v>
      </c>
      <c r="G88" s="137">
        <v>10500821</v>
      </c>
      <c r="H88" s="137">
        <v>11719029</v>
      </c>
      <c r="I88" s="137">
        <v>14631709</v>
      </c>
      <c r="J88" s="137">
        <v>8889419</v>
      </c>
      <c r="K88" s="137">
        <v>6746547</v>
      </c>
      <c r="L88" s="137">
        <v>6990099</v>
      </c>
      <c r="M88" s="137">
        <v>8048683</v>
      </c>
      <c r="N88" s="137">
        <v>11203644</v>
      </c>
      <c r="O88" s="137">
        <v>14250755</v>
      </c>
      <c r="P88" s="137">
        <v>12904543</v>
      </c>
      <c r="Q88" s="137">
        <v>12679699</v>
      </c>
      <c r="R88" s="137">
        <f>+SUM(F88:Q88)</f>
        <v>131428540</v>
      </c>
    </row>
    <row r="89" spans="3:18" s="137" customFormat="1">
      <c r="C89" s="137" t="s">
        <v>389</v>
      </c>
      <c r="F89" s="137">
        <f>+F88*0.06</f>
        <v>771815.52</v>
      </c>
      <c r="G89" s="137">
        <f>+G88*0.06</f>
        <v>630049.26</v>
      </c>
      <c r="H89" s="137">
        <f>+H88*0.06</f>
        <v>703141.74</v>
      </c>
      <c r="I89" s="137">
        <f>+I88*0.06</f>
        <v>877902.53999999992</v>
      </c>
      <c r="J89" s="137">
        <f t="shared" ref="J89:Q89" si="14">+J88*0.06</f>
        <v>533365.14</v>
      </c>
      <c r="K89" s="137">
        <f t="shared" si="14"/>
        <v>404792.82</v>
      </c>
      <c r="L89" s="137">
        <f t="shared" si="14"/>
        <v>419405.94</v>
      </c>
      <c r="M89" s="137">
        <f t="shared" si="14"/>
        <v>482920.98</v>
      </c>
      <c r="N89" s="137">
        <f t="shared" si="14"/>
        <v>672218.64</v>
      </c>
      <c r="O89" s="137">
        <f t="shared" si="14"/>
        <v>855045.29999999993</v>
      </c>
      <c r="P89" s="137">
        <f t="shared" si="14"/>
        <v>774272.58</v>
      </c>
      <c r="Q89" s="137">
        <f t="shared" si="14"/>
        <v>760781.94</v>
      </c>
      <c r="R89" s="137">
        <f>+SUM(F89:Q89)</f>
        <v>7885712.3999999985</v>
      </c>
    </row>
    <row r="90" spans="3:18" s="137" customFormat="1">
      <c r="C90" s="160" t="s">
        <v>391</v>
      </c>
      <c r="D90" s="160"/>
      <c r="E90" s="160"/>
      <c r="F90" s="160">
        <f>+F89-F77</f>
        <v>84167.790000000037</v>
      </c>
      <c r="G90" s="160">
        <f>+G89-G77</f>
        <v>24015.070000000065</v>
      </c>
      <c r="H90" s="160">
        <f>+H89-H77</f>
        <v>-12108.34999999986</v>
      </c>
      <c r="I90" s="160">
        <f>+I89-I77</f>
        <v>100559.0199999999</v>
      </c>
      <c r="J90" s="160">
        <f t="shared" ref="J90:Q90" si="15">+J89-J77</f>
        <v>26833.710000000137</v>
      </c>
      <c r="K90" s="160">
        <f t="shared" si="15"/>
        <v>34727.109999999928</v>
      </c>
      <c r="L90" s="160">
        <f t="shared" si="15"/>
        <v>12636.690000000119</v>
      </c>
      <c r="M90" s="160">
        <f t="shared" si="15"/>
        <v>26509.369999999879</v>
      </c>
      <c r="N90" s="160">
        <f t="shared" si="15"/>
        <v>39154.60999999987</v>
      </c>
      <c r="O90" s="160">
        <f t="shared" si="15"/>
        <v>76307.879999999888</v>
      </c>
      <c r="P90" s="160">
        <f>+P89-P77</f>
        <v>45086.549999999697</v>
      </c>
      <c r="Q90" s="160">
        <f t="shared" si="15"/>
        <v>50143.330000000075</v>
      </c>
      <c r="R90" s="160">
        <f>+R77-R89</f>
        <v>-486648.49999999721</v>
      </c>
    </row>
    <row r="91" spans="3:18" s="78" customFormat="1">
      <c r="C91" s="78" t="s">
        <v>392</v>
      </c>
      <c r="F91" s="78">
        <f>+F90/F89</f>
        <v>0.10905169411467656</v>
      </c>
      <c r="G91" s="78">
        <f t="shared" ref="G91:R91" si="16">+G90/G89</f>
        <v>3.811617840801855E-2</v>
      </c>
      <c r="H91" s="78">
        <f t="shared" si="16"/>
        <v>-1.7220354462245208E-2</v>
      </c>
      <c r="I91" s="78">
        <f t="shared" si="16"/>
        <v>0.11454462815428226</v>
      </c>
      <c r="J91" s="78">
        <f t="shared" si="16"/>
        <v>5.031020587509738E-2</v>
      </c>
      <c r="K91" s="78">
        <f t="shared" si="16"/>
        <v>8.5789836884952467E-2</v>
      </c>
      <c r="L91" s="78">
        <f t="shared" si="16"/>
        <v>3.0129973838711296E-2</v>
      </c>
      <c r="M91" s="78">
        <f t="shared" si="16"/>
        <v>5.4893804779406932E-2</v>
      </c>
      <c r="N91" s="78">
        <f t="shared" si="16"/>
        <v>5.824683766579259E-2</v>
      </c>
      <c r="O91" s="78">
        <f t="shared" si="16"/>
        <v>8.9244254076362842E-2</v>
      </c>
      <c r="P91" s="78">
        <f t="shared" si="16"/>
        <v>5.8230849399315804E-2</v>
      </c>
      <c r="Q91" s="78">
        <f t="shared" si="16"/>
        <v>6.5910252811732198E-2</v>
      </c>
      <c r="R91" s="78">
        <f t="shared" si="16"/>
        <v>-6.1712686858830572E-2</v>
      </c>
    </row>
  </sheetData>
  <phoneticPr fontId="3" type="noConversion"/>
  <printOptions horizontalCentered="1"/>
  <pageMargins left="0.25" right="0.25" top="0.5" bottom="0.25" header="0.25" footer="0.25"/>
  <pageSetup scale="62" orientation="landscape" r:id="rId1"/>
  <headerFooter alignWithMargins="0">
    <oddHeader>&amp;C&amp;"Arial,Bold"&amp;11Occupancy Tax Receipts
Fiscal Year 2010</oddHead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T101"/>
  <sheetViews>
    <sheetView zoomScale="125" workbookViewId="0">
      <pane xSplit="5" ySplit="1" topLeftCell="I2" activePane="bottomRight" state="frozen"/>
      <selection pane="topRight" activeCell="C1" sqref="C1"/>
      <selection pane="bottomLeft" activeCell="A2" sqref="A2"/>
      <selection pane="bottomRight" activeCell="B23" sqref="B23"/>
    </sheetView>
  </sheetViews>
  <sheetFormatPr defaultColWidth="9.08984375" defaultRowHeight="10"/>
  <cols>
    <col min="1" max="1" width="2.08984375" style="1" customWidth="1"/>
    <col min="2" max="2" width="13" style="1" customWidth="1"/>
    <col min="3" max="3" width="7.90625" style="1" bestFit="1" customWidth="1"/>
    <col min="4" max="4" width="7.90625" style="1" hidden="1" customWidth="1"/>
    <col min="5" max="5" width="32.08984375" style="1" bestFit="1" customWidth="1"/>
    <col min="6" max="8" width="12" style="1" bestFit="1" customWidth="1"/>
    <col min="9" max="9" width="13.453125" style="1" bestFit="1" customWidth="1"/>
    <col min="10" max="13" width="10.6328125" style="1" customWidth="1"/>
    <col min="14" max="14" width="11.54296875" style="1" customWidth="1"/>
    <col min="15" max="15" width="12.08984375" style="1" customWidth="1"/>
    <col min="16" max="16" width="12.54296875" style="1" customWidth="1"/>
    <col min="17" max="17" width="11.90625" style="1" customWidth="1"/>
    <col min="18" max="18" width="13.6328125" style="1" bestFit="1" customWidth="1"/>
    <col min="19" max="19" width="0" style="1" hidden="1" customWidth="1"/>
    <col min="20" max="20" width="10.6328125" style="1" hidden="1" customWidth="1"/>
    <col min="21" max="16384" width="9.08984375" style="1"/>
  </cols>
  <sheetData>
    <row r="1" spans="2:20" s="17" customFormat="1" ht="21">
      <c r="B1" s="17" t="s">
        <v>523</v>
      </c>
      <c r="C1" s="14" t="s">
        <v>82</v>
      </c>
      <c r="D1" s="20" t="s">
        <v>370</v>
      </c>
      <c r="E1" s="15" t="s">
        <v>0</v>
      </c>
      <c r="F1" s="89" t="s">
        <v>352</v>
      </c>
      <c r="G1" s="88" t="s">
        <v>353</v>
      </c>
      <c r="H1" s="92" t="s">
        <v>354</v>
      </c>
      <c r="I1" s="95" t="s">
        <v>355</v>
      </c>
      <c r="J1" s="98" t="s">
        <v>356</v>
      </c>
      <c r="K1" s="102" t="s">
        <v>357</v>
      </c>
      <c r="L1" s="104" t="s">
        <v>358</v>
      </c>
      <c r="M1" s="109" t="s">
        <v>359</v>
      </c>
      <c r="N1" s="110" t="s">
        <v>360</v>
      </c>
      <c r="O1" s="131" t="s">
        <v>361</v>
      </c>
      <c r="P1" s="62" t="s">
        <v>362</v>
      </c>
      <c r="Q1" s="143" t="s">
        <v>363</v>
      </c>
      <c r="R1" s="64" t="s">
        <v>143</v>
      </c>
      <c r="S1" s="64"/>
      <c r="T1" s="64" t="s">
        <v>142</v>
      </c>
    </row>
    <row r="2" spans="2:20" s="17" customFormat="1" ht="10.5">
      <c r="B2" s="1" t="s">
        <v>531</v>
      </c>
      <c r="C2" s="4">
        <v>15002216</v>
      </c>
      <c r="D2" s="4"/>
      <c r="E2" s="1" t="s">
        <v>329</v>
      </c>
      <c r="F2" s="55">
        <v>52.44</v>
      </c>
      <c r="G2" s="117"/>
      <c r="H2" s="118"/>
      <c r="I2" s="96">
        <v>750.6</v>
      </c>
      <c r="J2" s="122"/>
      <c r="K2" s="125"/>
      <c r="L2" s="126"/>
      <c r="M2" s="129"/>
      <c r="N2" s="140"/>
      <c r="O2" s="134"/>
      <c r="P2" s="31">
        <v>107.34</v>
      </c>
      <c r="Q2" s="144">
        <v>38.520000000000003</v>
      </c>
      <c r="R2" s="8">
        <f t="shared" ref="R2:R33" si="0">+SUM(F2:Q2)</f>
        <v>948.9</v>
      </c>
      <c r="S2" s="86"/>
      <c r="T2" s="31">
        <f>+R2/1</f>
        <v>948.9</v>
      </c>
    </row>
    <row r="3" spans="2:20">
      <c r="C3" s="4">
        <v>7005002</v>
      </c>
      <c r="D3" s="4">
        <v>88</v>
      </c>
      <c r="E3" s="1" t="s">
        <v>227</v>
      </c>
      <c r="F3" s="55">
        <v>7567.14</v>
      </c>
      <c r="G3" s="87">
        <v>4731.8500000000004</v>
      </c>
      <c r="H3" s="93">
        <v>8512.14</v>
      </c>
      <c r="I3" s="96">
        <v>10981.58</v>
      </c>
      <c r="J3" s="99">
        <v>4290</v>
      </c>
      <c r="K3" s="101">
        <v>3457</v>
      </c>
      <c r="L3" s="105">
        <v>1912</v>
      </c>
      <c r="M3" s="107">
        <v>2433</v>
      </c>
      <c r="N3" s="112">
        <v>3710</v>
      </c>
      <c r="O3" s="133">
        <v>5575</v>
      </c>
      <c r="P3" s="31">
        <v>4472</v>
      </c>
      <c r="Q3" s="141">
        <v>4434</v>
      </c>
      <c r="R3" s="8">
        <f t="shared" si="0"/>
        <v>62075.71</v>
      </c>
      <c r="S3" s="1">
        <f t="shared" ref="S3:S34" si="1">COUNT(F3:Q3)</f>
        <v>12</v>
      </c>
      <c r="T3" s="31">
        <f t="shared" ref="T3:T34" si="2">+R3/S3</f>
        <v>5172.975833333333</v>
      </c>
    </row>
    <row r="4" spans="2:20">
      <c r="C4" s="4">
        <v>7003902</v>
      </c>
      <c r="D4" s="4">
        <v>87</v>
      </c>
      <c r="E4" s="1" t="s">
        <v>326</v>
      </c>
      <c r="F4" s="55">
        <v>8373.18</v>
      </c>
      <c r="G4" s="87">
        <v>6451.71</v>
      </c>
      <c r="H4" s="93">
        <v>7569</v>
      </c>
      <c r="I4" s="96">
        <v>11885.48</v>
      </c>
      <c r="J4" s="99">
        <v>4553</v>
      </c>
      <c r="K4" s="101">
        <v>3513</v>
      </c>
      <c r="L4" s="105">
        <v>3405</v>
      </c>
      <c r="M4" s="107">
        <v>3674</v>
      </c>
      <c r="N4" s="112">
        <v>5305</v>
      </c>
      <c r="O4" s="133">
        <v>6781</v>
      </c>
      <c r="P4" s="31">
        <v>6311</v>
      </c>
      <c r="Q4" s="141">
        <v>7051</v>
      </c>
      <c r="R4" s="8">
        <f t="shared" si="0"/>
        <v>74872.37</v>
      </c>
      <c r="S4" s="1">
        <f t="shared" si="1"/>
        <v>12</v>
      </c>
      <c r="T4" s="31">
        <f t="shared" si="2"/>
        <v>6239.3641666666663</v>
      </c>
    </row>
    <row r="5" spans="2:20">
      <c r="B5" s="1" t="s">
        <v>533</v>
      </c>
      <c r="C5" s="4">
        <v>15008670</v>
      </c>
      <c r="D5" s="4">
        <v>117</v>
      </c>
      <c r="E5" s="1" t="s">
        <v>114</v>
      </c>
      <c r="F5" s="55">
        <v>3261.74</v>
      </c>
      <c r="G5" s="87">
        <v>2718.11</v>
      </c>
      <c r="H5" s="93">
        <v>5662.23</v>
      </c>
      <c r="I5" s="96">
        <v>4929.6499999999996</v>
      </c>
      <c r="J5" s="99">
        <v>2065.8200000000002</v>
      </c>
      <c r="K5" s="101">
        <v>1578.41</v>
      </c>
      <c r="L5" s="105">
        <v>1724.72</v>
      </c>
      <c r="M5" s="107">
        <v>1826.1</v>
      </c>
      <c r="N5" s="112">
        <v>3311.28</v>
      </c>
      <c r="O5" s="133">
        <v>3424.05</v>
      </c>
      <c r="P5" s="31">
        <v>3893.42</v>
      </c>
      <c r="Q5" s="141">
        <v>3142.4</v>
      </c>
      <c r="R5" s="8">
        <f t="shared" si="0"/>
        <v>37537.93</v>
      </c>
      <c r="S5" s="1">
        <f t="shared" si="1"/>
        <v>12</v>
      </c>
      <c r="T5" s="31">
        <f t="shared" si="2"/>
        <v>3128.1608333333334</v>
      </c>
    </row>
    <row r="6" spans="2:20">
      <c r="B6" s="1" t="s">
        <v>543</v>
      </c>
      <c r="C6" s="4">
        <v>70097</v>
      </c>
      <c r="D6" s="4">
        <v>132</v>
      </c>
      <c r="E6" s="1" t="s">
        <v>346</v>
      </c>
      <c r="F6" s="55">
        <v>5233.37</v>
      </c>
      <c r="G6" s="87">
        <v>4386.8500000000004</v>
      </c>
      <c r="H6" s="93">
        <v>5117.38</v>
      </c>
      <c r="I6" s="96">
        <v>7764.16</v>
      </c>
      <c r="J6" s="99">
        <v>3596.43</v>
      </c>
      <c r="K6" s="101">
        <v>2705.5</v>
      </c>
      <c r="L6" s="105">
        <v>3649.6</v>
      </c>
      <c r="M6" s="107">
        <v>3504.69</v>
      </c>
      <c r="N6" s="112">
        <v>3523.43</v>
      </c>
      <c r="O6" s="133">
        <f>4395.17+110.21</f>
        <v>4505.38</v>
      </c>
      <c r="P6" s="31">
        <v>4757.24</v>
      </c>
      <c r="Q6" s="141">
        <v>3745.95</v>
      </c>
      <c r="R6" s="8">
        <f t="shared" si="0"/>
        <v>52489.979999999996</v>
      </c>
      <c r="S6" s="1">
        <f t="shared" si="1"/>
        <v>12</v>
      </c>
      <c r="T6" s="31">
        <f t="shared" si="2"/>
        <v>4374.165</v>
      </c>
    </row>
    <row r="7" spans="2:20">
      <c r="B7" s="1" t="s">
        <v>534</v>
      </c>
      <c r="C7" s="4">
        <v>70000</v>
      </c>
      <c r="D7" s="4">
        <v>89</v>
      </c>
      <c r="E7" s="1" t="s">
        <v>229</v>
      </c>
      <c r="F7" s="93">
        <v>1022.88</v>
      </c>
      <c r="G7" s="87">
        <v>869.04</v>
      </c>
      <c r="H7" s="93">
        <v>931.71</v>
      </c>
      <c r="I7" s="99">
        <v>1038.5999999999999</v>
      </c>
      <c r="J7" s="99">
        <v>930.91</v>
      </c>
      <c r="K7" s="101">
        <v>1079.22</v>
      </c>
      <c r="L7" s="105">
        <v>1035.6500000000001</v>
      </c>
      <c r="M7" s="31">
        <v>928.43</v>
      </c>
      <c r="N7" s="112">
        <v>997.06</v>
      </c>
      <c r="O7" s="133">
        <v>1044.53</v>
      </c>
      <c r="P7" s="31">
        <v>962.95</v>
      </c>
      <c r="Q7" s="141">
        <v>994.31</v>
      </c>
      <c r="R7" s="8">
        <f t="shared" si="0"/>
        <v>11835.29</v>
      </c>
      <c r="S7" s="1">
        <f t="shared" si="1"/>
        <v>12</v>
      </c>
      <c r="T7" s="31">
        <f t="shared" si="2"/>
        <v>986.2741666666667</v>
      </c>
    </row>
    <row r="8" spans="2:20">
      <c r="B8" s="1" t="s">
        <v>534</v>
      </c>
      <c r="C8" s="42">
        <v>70002</v>
      </c>
      <c r="D8" s="42">
        <v>90</v>
      </c>
      <c r="E8" s="11" t="s">
        <v>230</v>
      </c>
      <c r="F8" s="55">
        <v>1473.79</v>
      </c>
      <c r="G8" s="87">
        <v>1347.8</v>
      </c>
      <c r="H8" s="93">
        <v>1398.09</v>
      </c>
      <c r="I8" s="96">
        <v>1425.6</v>
      </c>
      <c r="J8" s="99">
        <v>1257.5999999999999</v>
      </c>
      <c r="K8" s="101">
        <v>1346.6</v>
      </c>
      <c r="L8" s="105">
        <v>1275.33</v>
      </c>
      <c r="M8" s="31">
        <v>1407.88</v>
      </c>
      <c r="N8" s="112">
        <v>1396</v>
      </c>
      <c r="O8" s="133">
        <v>1455.88</v>
      </c>
      <c r="P8" s="31">
        <v>1477.36</v>
      </c>
      <c r="Q8" s="141">
        <v>1421.38</v>
      </c>
      <c r="R8" s="8">
        <f t="shared" si="0"/>
        <v>16683.310000000005</v>
      </c>
      <c r="S8" s="1">
        <f t="shared" si="1"/>
        <v>12</v>
      </c>
      <c r="T8" s="31">
        <f t="shared" si="2"/>
        <v>1390.2758333333338</v>
      </c>
    </row>
    <row r="9" spans="2:20">
      <c r="B9" s="1" t="s">
        <v>532</v>
      </c>
      <c r="C9" s="4">
        <v>70044</v>
      </c>
      <c r="D9" s="4"/>
      <c r="E9" s="1" t="s">
        <v>231</v>
      </c>
      <c r="F9" s="55">
        <v>10107.959999999999</v>
      </c>
      <c r="G9" s="87">
        <v>8333.74</v>
      </c>
      <c r="H9" s="93">
        <v>10508.9</v>
      </c>
      <c r="I9" s="96">
        <v>15556.68</v>
      </c>
      <c r="J9" s="99">
        <v>5009.16</v>
      </c>
      <c r="K9" s="101">
        <v>4113.34</v>
      </c>
      <c r="L9" s="105">
        <v>4105.3999999999996</v>
      </c>
      <c r="M9" s="107">
        <v>4458.84</v>
      </c>
      <c r="N9" s="112">
        <v>6769.49</v>
      </c>
      <c r="O9" s="133">
        <v>9269.9500000000007</v>
      </c>
      <c r="P9" s="31">
        <v>8268.9</v>
      </c>
      <c r="Q9" s="141">
        <v>6731.68</v>
      </c>
      <c r="R9" s="8">
        <f t="shared" si="0"/>
        <v>93234.040000000008</v>
      </c>
      <c r="S9" s="1">
        <f t="shared" si="1"/>
        <v>12</v>
      </c>
      <c r="T9" s="31">
        <f t="shared" si="2"/>
        <v>7769.503333333334</v>
      </c>
    </row>
    <row r="10" spans="2:20">
      <c r="B10" s="1" t="s">
        <v>536</v>
      </c>
      <c r="C10" s="4">
        <v>70067</v>
      </c>
      <c r="D10" s="4"/>
      <c r="E10" s="1" t="s">
        <v>232</v>
      </c>
      <c r="F10" s="55">
        <v>3872.5</v>
      </c>
      <c r="G10" s="87">
        <v>3079.17</v>
      </c>
      <c r="H10" s="93">
        <v>6051.93</v>
      </c>
      <c r="I10" s="96">
        <v>7495.61</v>
      </c>
      <c r="J10" s="99">
        <v>2299.09</v>
      </c>
      <c r="K10" s="101">
        <v>1704.54</v>
      </c>
      <c r="L10" s="105">
        <v>1823.5</v>
      </c>
      <c r="M10" s="107">
        <v>1994.83</v>
      </c>
      <c r="N10" s="112">
        <v>2967.85</v>
      </c>
      <c r="O10" s="133">
        <v>4122.59</v>
      </c>
      <c r="P10" s="31">
        <v>3252.69</v>
      </c>
      <c r="Q10" s="141">
        <v>3057.64</v>
      </c>
      <c r="R10" s="8">
        <f t="shared" si="0"/>
        <v>41721.94</v>
      </c>
      <c r="S10" s="1">
        <f t="shared" si="1"/>
        <v>12</v>
      </c>
      <c r="T10" s="31">
        <f t="shared" si="2"/>
        <v>3476.8283333333334</v>
      </c>
    </row>
    <row r="11" spans="2:20">
      <c r="B11" s="1" t="s">
        <v>532</v>
      </c>
      <c r="C11" s="4">
        <v>70075</v>
      </c>
      <c r="D11" s="4">
        <v>95</v>
      </c>
      <c r="E11" s="1" t="s">
        <v>234</v>
      </c>
      <c r="F11" s="55">
        <v>7130.49</v>
      </c>
      <c r="G11" s="87">
        <v>4892.57</v>
      </c>
      <c r="H11" s="93">
        <v>6992.83</v>
      </c>
      <c r="I11" s="96">
        <v>11899.65</v>
      </c>
      <c r="J11" s="99">
        <v>4026.37</v>
      </c>
      <c r="K11" s="101">
        <v>3645.53</v>
      </c>
      <c r="L11" s="105">
        <v>3272.29</v>
      </c>
      <c r="M11" s="107">
        <v>4479.78</v>
      </c>
      <c r="N11" s="112">
        <v>5874.7</v>
      </c>
      <c r="O11" s="133">
        <v>7237.58</v>
      </c>
      <c r="P11" s="31">
        <v>6468.24</v>
      </c>
      <c r="Q11" s="141">
        <v>6005.3</v>
      </c>
      <c r="R11" s="8">
        <f t="shared" si="0"/>
        <v>71925.33</v>
      </c>
      <c r="S11" s="1">
        <f t="shared" si="1"/>
        <v>12</v>
      </c>
      <c r="T11" s="31">
        <f t="shared" si="2"/>
        <v>5993.7775000000001</v>
      </c>
    </row>
    <row r="12" spans="2:20">
      <c r="B12" s="1" t="s">
        <v>535</v>
      </c>
      <c r="C12" s="4">
        <v>70053</v>
      </c>
      <c r="D12" s="4">
        <v>96</v>
      </c>
      <c r="E12" s="1" t="s">
        <v>235</v>
      </c>
      <c r="F12" s="55">
        <v>16717.64</v>
      </c>
      <c r="G12" s="87">
        <v>11986.05</v>
      </c>
      <c r="H12" s="93">
        <v>35012.550000000003</v>
      </c>
      <c r="I12" s="96">
        <v>20190.21</v>
      </c>
      <c r="J12" s="99">
        <v>11946.17</v>
      </c>
      <c r="K12" s="101">
        <v>5412.41</v>
      </c>
      <c r="L12" s="105">
        <v>6044.21</v>
      </c>
      <c r="M12" s="107">
        <v>7081.12</v>
      </c>
      <c r="N12" s="112">
        <v>10210.780000000001</v>
      </c>
      <c r="O12" s="133">
        <v>13522.77</v>
      </c>
      <c r="P12" s="31">
        <v>17931.919999999998</v>
      </c>
      <c r="Q12" s="141">
        <v>14061.61</v>
      </c>
      <c r="R12" s="8">
        <f t="shared" si="0"/>
        <v>170117.44</v>
      </c>
      <c r="S12" s="1">
        <f t="shared" si="1"/>
        <v>12</v>
      </c>
      <c r="T12" s="31">
        <f t="shared" si="2"/>
        <v>14176.453333333333</v>
      </c>
    </row>
    <row r="13" spans="2:20">
      <c r="C13" s="4">
        <v>15003404</v>
      </c>
      <c r="D13" s="4">
        <v>97</v>
      </c>
      <c r="E13" s="1" t="s">
        <v>236</v>
      </c>
      <c r="F13" s="55">
        <v>15028.26</v>
      </c>
      <c r="G13" s="87">
        <v>14926.44</v>
      </c>
      <c r="H13" s="93">
        <v>20019.38</v>
      </c>
      <c r="I13" s="96">
        <v>24587.18</v>
      </c>
      <c r="J13" s="99">
        <v>11155.75</v>
      </c>
      <c r="K13" s="101">
        <v>8744.81</v>
      </c>
      <c r="L13" s="105">
        <v>10103.129999999999</v>
      </c>
      <c r="M13" s="107">
        <v>12666.83</v>
      </c>
      <c r="N13" s="112">
        <v>13583.6</v>
      </c>
      <c r="O13" s="133">
        <v>12903.86</v>
      </c>
      <c r="P13" s="31">
        <v>14140.85</v>
      </c>
      <c r="Q13" s="141">
        <v>13454.04</v>
      </c>
      <c r="R13" s="8">
        <f t="shared" si="0"/>
        <v>171314.13000000003</v>
      </c>
      <c r="S13" s="1">
        <f t="shared" si="1"/>
        <v>12</v>
      </c>
      <c r="T13" s="31">
        <f t="shared" si="2"/>
        <v>14276.177500000003</v>
      </c>
    </row>
    <row r="14" spans="2:20">
      <c r="B14" s="1" t="s">
        <v>538</v>
      </c>
      <c r="C14" s="4">
        <v>70020</v>
      </c>
      <c r="D14" s="4"/>
      <c r="E14" s="1" t="s">
        <v>237</v>
      </c>
      <c r="F14" s="55">
        <f>9376.53+9202.47</f>
        <v>18579</v>
      </c>
      <c r="G14" s="87">
        <v>7484.75</v>
      </c>
      <c r="H14" s="93">
        <v>18855.41</v>
      </c>
      <c r="I14" s="96">
        <v>11448.44</v>
      </c>
      <c r="J14" s="99">
        <v>4829.74</v>
      </c>
      <c r="K14" s="101">
        <v>3892.17</v>
      </c>
      <c r="L14" s="105">
        <v>4307.57</v>
      </c>
      <c r="M14" s="107">
        <v>5251.77</v>
      </c>
      <c r="N14" s="112">
        <v>8485.2800000000007</v>
      </c>
      <c r="O14" s="133">
        <v>8055.97</v>
      </c>
      <c r="P14" s="31">
        <v>7301.08</v>
      </c>
      <c r="Q14" s="141">
        <v>8203.52</v>
      </c>
      <c r="R14" s="8">
        <f t="shared" si="0"/>
        <v>106694.70000000001</v>
      </c>
      <c r="S14" s="1">
        <f t="shared" si="1"/>
        <v>12</v>
      </c>
      <c r="T14" s="31">
        <f t="shared" si="2"/>
        <v>8891.2250000000004</v>
      </c>
    </row>
    <row r="15" spans="2:20">
      <c r="C15" s="4">
        <v>15006166</v>
      </c>
      <c r="D15" s="4"/>
      <c r="E15" s="1" t="s">
        <v>238</v>
      </c>
      <c r="F15" s="114"/>
      <c r="G15" s="116"/>
      <c r="H15" s="119"/>
      <c r="I15" s="120"/>
      <c r="J15" s="123"/>
      <c r="K15" s="124"/>
      <c r="L15" s="127"/>
      <c r="M15" s="128"/>
      <c r="N15" s="130"/>
      <c r="O15" s="134"/>
      <c r="P15" s="136"/>
      <c r="Q15" s="145"/>
      <c r="R15" s="8">
        <f t="shared" si="0"/>
        <v>0</v>
      </c>
      <c r="S15" s="1">
        <f t="shared" si="1"/>
        <v>0</v>
      </c>
      <c r="T15" s="31" t="e">
        <f t="shared" si="2"/>
        <v>#DIV/0!</v>
      </c>
    </row>
    <row r="16" spans="2:20">
      <c r="B16" s="1" t="s">
        <v>536</v>
      </c>
      <c r="C16" s="4">
        <v>15007853</v>
      </c>
      <c r="D16" s="4"/>
      <c r="E16" s="1" t="s">
        <v>111</v>
      </c>
      <c r="F16" s="55">
        <v>3497.1</v>
      </c>
      <c r="G16" s="87">
        <v>2782.34</v>
      </c>
      <c r="H16" s="93">
        <v>3731.13</v>
      </c>
      <c r="I16" s="96">
        <v>6233.36</v>
      </c>
      <c r="J16" s="99">
        <v>1927.92</v>
      </c>
      <c r="K16" s="101">
        <v>1739.33</v>
      </c>
      <c r="L16" s="105">
        <v>1857.78</v>
      </c>
      <c r="M16" s="107">
        <v>2284</v>
      </c>
      <c r="N16" s="112">
        <v>3100.72</v>
      </c>
      <c r="O16" s="133">
        <v>3436.03</v>
      </c>
      <c r="P16" s="31">
        <v>3904.57</v>
      </c>
      <c r="Q16" s="141">
        <v>3090.39</v>
      </c>
      <c r="R16" s="8">
        <f t="shared" si="0"/>
        <v>37584.67</v>
      </c>
      <c r="S16" s="1">
        <f t="shared" si="1"/>
        <v>12</v>
      </c>
      <c r="T16" s="31">
        <f t="shared" si="2"/>
        <v>3132.0558333333333</v>
      </c>
    </row>
    <row r="17" spans="2:20">
      <c r="B17" s="1" t="s">
        <v>539</v>
      </c>
      <c r="C17" s="4">
        <v>70007</v>
      </c>
      <c r="D17" s="4">
        <v>99</v>
      </c>
      <c r="E17" s="1" t="s">
        <v>239</v>
      </c>
      <c r="F17" s="55">
        <v>342</v>
      </c>
      <c r="G17" s="87">
        <v>351</v>
      </c>
      <c r="H17" s="93">
        <v>366</v>
      </c>
      <c r="I17" s="96">
        <v>349.5</v>
      </c>
      <c r="J17" s="99">
        <v>330</v>
      </c>
      <c r="K17" s="101">
        <v>321</v>
      </c>
      <c r="L17" s="105">
        <v>306</v>
      </c>
      <c r="M17" s="31">
        <v>298.5</v>
      </c>
      <c r="N17" s="112">
        <v>315</v>
      </c>
      <c r="O17" s="133">
        <v>368.4</v>
      </c>
      <c r="P17" s="31">
        <v>406.5</v>
      </c>
      <c r="Q17" s="141">
        <v>436.8</v>
      </c>
      <c r="R17" s="8">
        <f t="shared" si="0"/>
        <v>4190.7</v>
      </c>
      <c r="S17" s="1">
        <f t="shared" si="1"/>
        <v>12</v>
      </c>
      <c r="T17" s="31">
        <f t="shared" si="2"/>
        <v>349.22499999999997</v>
      </c>
    </row>
    <row r="18" spans="2:20">
      <c r="B18" s="1" t="s">
        <v>536</v>
      </c>
      <c r="C18" s="4">
        <v>15010839</v>
      </c>
      <c r="D18" s="4"/>
      <c r="E18" s="1" t="s">
        <v>300</v>
      </c>
      <c r="F18" s="55">
        <v>12151.01</v>
      </c>
      <c r="G18" s="87">
        <v>7000.59</v>
      </c>
      <c r="H18" s="93">
        <v>16177.03</v>
      </c>
      <c r="I18" s="96">
        <v>24083.41</v>
      </c>
      <c r="J18" s="99">
        <v>4952.91</v>
      </c>
      <c r="K18" s="101">
        <v>3645.37</v>
      </c>
      <c r="L18" s="105">
        <v>3584.52</v>
      </c>
      <c r="M18" s="107">
        <v>4214.03</v>
      </c>
      <c r="N18" s="112">
        <v>5949.85</v>
      </c>
      <c r="O18" s="133">
        <v>11003.03</v>
      </c>
      <c r="P18" s="31">
        <v>10059.83</v>
      </c>
      <c r="Q18" s="141">
        <v>8224.58</v>
      </c>
      <c r="R18" s="8">
        <f t="shared" si="0"/>
        <v>111046.16</v>
      </c>
      <c r="S18" s="1">
        <f t="shared" si="1"/>
        <v>12</v>
      </c>
      <c r="T18" s="31">
        <f t="shared" si="2"/>
        <v>9253.8466666666664</v>
      </c>
    </row>
    <row r="19" spans="2:20">
      <c r="B19" s="1" t="s">
        <v>533</v>
      </c>
      <c r="C19" s="4">
        <v>15005502</v>
      </c>
      <c r="D19" s="4">
        <v>137</v>
      </c>
      <c r="E19" s="1" t="s">
        <v>240</v>
      </c>
      <c r="F19" s="55">
        <v>24870.12</v>
      </c>
      <c r="G19" s="87">
        <v>23038.68</v>
      </c>
      <c r="H19" s="93">
        <v>29132.63</v>
      </c>
      <c r="I19" s="96">
        <v>37697.1</v>
      </c>
      <c r="J19" s="99">
        <v>18067.02</v>
      </c>
      <c r="K19" s="101">
        <v>14234.52</v>
      </c>
      <c r="L19" s="107">
        <v>14018.64</v>
      </c>
      <c r="M19" s="107">
        <v>17541.8</v>
      </c>
      <c r="N19" s="112">
        <v>18437.23</v>
      </c>
      <c r="O19" s="133">
        <v>24733.63</v>
      </c>
      <c r="P19" s="31">
        <v>25060.14</v>
      </c>
      <c r="Q19" s="141">
        <v>21289.15</v>
      </c>
      <c r="R19" s="8">
        <f t="shared" si="0"/>
        <v>268120.65999999997</v>
      </c>
      <c r="S19" s="1">
        <f t="shared" si="1"/>
        <v>12</v>
      </c>
      <c r="T19" s="31">
        <f t="shared" si="2"/>
        <v>22343.388333333332</v>
      </c>
    </row>
    <row r="20" spans="2:20">
      <c r="B20" s="1" t="s">
        <v>536</v>
      </c>
      <c r="C20" s="4">
        <v>70008</v>
      </c>
      <c r="D20" s="4">
        <v>100</v>
      </c>
      <c r="E20" s="1" t="s">
        <v>241</v>
      </c>
      <c r="F20" s="55">
        <v>3088.08</v>
      </c>
      <c r="G20" s="87">
        <v>2457.23</v>
      </c>
      <c r="H20" s="93">
        <v>5341.86</v>
      </c>
      <c r="I20" s="96">
        <v>5580.47</v>
      </c>
      <c r="J20" s="99">
        <v>1694.91</v>
      </c>
      <c r="K20" s="101">
        <v>1578.68</v>
      </c>
      <c r="L20" s="105">
        <v>1451.57</v>
      </c>
      <c r="M20" s="31">
        <v>1204.72</v>
      </c>
      <c r="N20" s="112">
        <v>1821.87</v>
      </c>
      <c r="O20" s="133">
        <v>2897.32</v>
      </c>
      <c r="P20" s="31">
        <v>2651.32</v>
      </c>
      <c r="Q20" s="141">
        <v>2393.96</v>
      </c>
      <c r="R20" s="8">
        <f t="shared" si="0"/>
        <v>32161.989999999998</v>
      </c>
      <c r="S20" s="1">
        <f t="shared" si="1"/>
        <v>12</v>
      </c>
      <c r="T20" s="31">
        <f t="shared" si="2"/>
        <v>2680.165833333333</v>
      </c>
    </row>
    <row r="21" spans="2:20">
      <c r="B21" s="1" t="s">
        <v>541</v>
      </c>
      <c r="C21" s="4">
        <v>70072</v>
      </c>
      <c r="D21" s="4">
        <v>102</v>
      </c>
      <c r="E21" s="1" t="s">
        <v>242</v>
      </c>
      <c r="F21" s="55">
        <v>6323.42</v>
      </c>
      <c r="G21" s="87">
        <v>4453.22</v>
      </c>
      <c r="H21" s="93">
        <v>6979.56</v>
      </c>
      <c r="I21" s="96">
        <f>2198.85+5275.33</f>
        <v>7474.18</v>
      </c>
      <c r="J21" s="99">
        <v>5227.7</v>
      </c>
      <c r="K21" s="101">
        <v>3645.06</v>
      </c>
      <c r="L21" s="105">
        <v>4662.24</v>
      </c>
      <c r="M21" s="107">
        <v>3860.45</v>
      </c>
      <c r="N21" s="112">
        <v>4916.3</v>
      </c>
      <c r="O21" s="133">
        <v>6645.91</v>
      </c>
      <c r="P21" s="31">
        <v>5182.3999999999996</v>
      </c>
      <c r="Q21" s="141">
        <v>4146.68</v>
      </c>
      <c r="R21" s="8">
        <f t="shared" si="0"/>
        <v>63517.119999999995</v>
      </c>
      <c r="S21" s="1">
        <f t="shared" si="1"/>
        <v>12</v>
      </c>
      <c r="T21" s="31">
        <f t="shared" si="2"/>
        <v>5293.0933333333332</v>
      </c>
    </row>
    <row r="22" spans="2:20">
      <c r="B22" s="1" t="s">
        <v>540</v>
      </c>
      <c r="C22" s="4">
        <v>15006827</v>
      </c>
      <c r="D22" s="4">
        <v>4124</v>
      </c>
      <c r="E22" s="1" t="s">
        <v>344</v>
      </c>
      <c r="F22" s="55">
        <v>16667.8</v>
      </c>
      <c r="G22" s="87">
        <v>14941.74</v>
      </c>
      <c r="H22" s="93">
        <v>21357.919999999998</v>
      </c>
      <c r="I22" s="96">
        <v>25552.37</v>
      </c>
      <c r="J22" s="99">
        <v>8662.5499999999993</v>
      </c>
      <c r="K22" s="101">
        <v>6427.27</v>
      </c>
      <c r="L22" s="105">
        <v>8749.0499999999993</v>
      </c>
      <c r="M22" s="107">
        <v>6218.06</v>
      </c>
      <c r="N22" s="112">
        <v>10166.120000000001</v>
      </c>
      <c r="O22" s="133">
        <v>13377.22</v>
      </c>
      <c r="P22" s="31">
        <v>15167.38</v>
      </c>
      <c r="Q22" s="141">
        <v>14229.96</v>
      </c>
      <c r="R22" s="8">
        <f t="shared" si="0"/>
        <v>161517.44</v>
      </c>
      <c r="S22" s="1">
        <f t="shared" si="1"/>
        <v>12</v>
      </c>
      <c r="T22" s="31">
        <f t="shared" si="2"/>
        <v>13459.786666666667</v>
      </c>
    </row>
    <row r="23" spans="2:20">
      <c r="C23" s="4">
        <v>7001601</v>
      </c>
      <c r="D23" s="4">
        <v>138</v>
      </c>
      <c r="E23" s="1" t="s">
        <v>243</v>
      </c>
      <c r="F23" s="55">
        <v>15299.14</v>
      </c>
      <c r="G23" s="87">
        <v>14722.61</v>
      </c>
      <c r="H23" s="93">
        <v>23375.65</v>
      </c>
      <c r="I23" s="96">
        <v>37850.660000000003</v>
      </c>
      <c r="J23" s="151">
        <v>8821.02</v>
      </c>
      <c r="K23" s="151">
        <v>5418.68</v>
      </c>
      <c r="L23" s="151">
        <v>5447.32</v>
      </c>
      <c r="M23" s="151">
        <v>5525.27</v>
      </c>
      <c r="N23" s="99">
        <v>14872.54</v>
      </c>
      <c r="O23" s="133">
        <v>12845.21</v>
      </c>
      <c r="P23" s="31">
        <f>12845.21+17731.72</f>
        <v>30576.93</v>
      </c>
      <c r="Q23" s="31">
        <v>13902.2</v>
      </c>
      <c r="R23" s="8">
        <f t="shared" si="0"/>
        <v>188657.23</v>
      </c>
      <c r="S23" s="1">
        <f t="shared" si="1"/>
        <v>12</v>
      </c>
      <c r="T23" s="31">
        <f t="shared" si="2"/>
        <v>15721.435833333335</v>
      </c>
    </row>
    <row r="24" spans="2:20">
      <c r="B24" s="1" t="s">
        <v>531</v>
      </c>
      <c r="C24" s="4">
        <v>15004535</v>
      </c>
      <c r="D24" s="4">
        <v>124</v>
      </c>
      <c r="E24" s="1" t="s">
        <v>112</v>
      </c>
      <c r="F24" s="55">
        <v>2000.88</v>
      </c>
      <c r="G24" s="87">
        <v>1416.15</v>
      </c>
      <c r="H24" s="93">
        <v>6153.12</v>
      </c>
      <c r="I24" s="96">
        <v>6308.28</v>
      </c>
      <c r="J24" s="99">
        <v>1616.9</v>
      </c>
      <c r="K24" s="101">
        <v>1454.94</v>
      </c>
      <c r="L24" s="105">
        <v>1288.8599999999999</v>
      </c>
      <c r="M24" s="107">
        <v>1778.85</v>
      </c>
      <c r="N24" s="112">
        <v>2125.38</v>
      </c>
      <c r="O24" s="133">
        <v>3586.17</v>
      </c>
      <c r="P24" s="31">
        <v>2998.07</v>
      </c>
      <c r="Q24" s="141">
        <v>2511.98</v>
      </c>
      <c r="R24" s="8">
        <f t="shared" si="0"/>
        <v>33239.58</v>
      </c>
      <c r="S24" s="1">
        <f t="shared" si="1"/>
        <v>12</v>
      </c>
      <c r="T24" s="31">
        <f t="shared" si="2"/>
        <v>2769.9650000000001</v>
      </c>
    </row>
    <row r="25" spans="2:20">
      <c r="B25" s="1" t="s">
        <v>532</v>
      </c>
      <c r="C25" s="4">
        <v>15007588</v>
      </c>
      <c r="D25" s="4"/>
      <c r="E25" s="1" t="s">
        <v>246</v>
      </c>
      <c r="F25" s="55">
        <v>18553.32</v>
      </c>
      <c r="G25" s="87">
        <v>16824.22</v>
      </c>
      <c r="H25" s="93">
        <v>19655.84</v>
      </c>
      <c r="I25" s="96">
        <v>23868</v>
      </c>
      <c r="J25" s="99">
        <v>13962.42</v>
      </c>
      <c r="K25" s="101">
        <v>10418.700000000001</v>
      </c>
      <c r="L25" s="107">
        <v>10356.9</v>
      </c>
      <c r="M25" s="107">
        <v>11363.16</v>
      </c>
      <c r="N25" s="112">
        <v>16373.16</v>
      </c>
      <c r="O25" s="133">
        <v>19562.82</v>
      </c>
      <c r="P25" s="31">
        <v>17601.060000000001</v>
      </c>
      <c r="Q25" s="141">
        <v>15379.44</v>
      </c>
      <c r="R25" s="8">
        <f t="shared" si="0"/>
        <v>193919.04</v>
      </c>
      <c r="S25" s="1">
        <f t="shared" si="1"/>
        <v>12</v>
      </c>
      <c r="T25" s="31">
        <f t="shared" si="2"/>
        <v>16159.92</v>
      </c>
    </row>
    <row r="26" spans="2:20">
      <c r="C26" s="4">
        <v>70079</v>
      </c>
      <c r="D26" s="4">
        <v>129</v>
      </c>
      <c r="E26" s="1" t="s">
        <v>247</v>
      </c>
      <c r="F26" s="55">
        <v>15005.74</v>
      </c>
      <c r="G26" s="87">
        <v>14535.81</v>
      </c>
      <c r="H26" s="93">
        <v>16447.21</v>
      </c>
      <c r="I26" s="96">
        <v>21180.55</v>
      </c>
      <c r="J26" s="99">
        <v>11711.64</v>
      </c>
      <c r="K26" s="101">
        <v>9418.69</v>
      </c>
      <c r="L26" s="105">
        <v>8824.3700000000008</v>
      </c>
      <c r="M26" s="107">
        <v>10421.540000000001</v>
      </c>
      <c r="N26" s="112">
        <v>13187.6</v>
      </c>
      <c r="O26" s="133">
        <v>15129.72</v>
      </c>
      <c r="P26" s="31">
        <v>15623.13</v>
      </c>
      <c r="Q26" s="141">
        <v>13567.54</v>
      </c>
      <c r="R26" s="8">
        <f t="shared" si="0"/>
        <v>165053.54</v>
      </c>
      <c r="S26" s="1">
        <f t="shared" si="1"/>
        <v>12</v>
      </c>
      <c r="T26" s="31">
        <f t="shared" si="2"/>
        <v>13754.461666666668</v>
      </c>
    </row>
    <row r="27" spans="2:20">
      <c r="B27" s="1" t="s">
        <v>541</v>
      </c>
      <c r="C27" s="4">
        <v>70017</v>
      </c>
      <c r="D27" s="4">
        <v>130</v>
      </c>
      <c r="E27" s="1" t="s">
        <v>248</v>
      </c>
      <c r="F27" s="55">
        <v>30595.19</v>
      </c>
      <c r="G27" s="87">
        <v>26232.81</v>
      </c>
      <c r="H27" s="93">
        <v>45929.94</v>
      </c>
      <c r="I27" s="96">
        <v>56303.81</v>
      </c>
      <c r="J27" s="99">
        <v>25485.59</v>
      </c>
      <c r="K27" s="101">
        <v>20059.73</v>
      </c>
      <c r="L27" s="105">
        <v>18075.189999999999</v>
      </c>
      <c r="M27" s="107">
        <v>20621.52</v>
      </c>
      <c r="N27" s="112">
        <v>26483.74</v>
      </c>
      <c r="O27" s="133">
        <v>30907.57</v>
      </c>
      <c r="P27" s="31">
        <v>26420.43</v>
      </c>
      <c r="Q27" s="141">
        <v>70.73</v>
      </c>
      <c r="R27" s="8">
        <f t="shared" si="0"/>
        <v>327186.25</v>
      </c>
      <c r="S27" s="1">
        <f t="shared" si="1"/>
        <v>12</v>
      </c>
      <c r="T27" s="31">
        <f t="shared" si="2"/>
        <v>27265.520833333332</v>
      </c>
    </row>
    <row r="28" spans="2:20">
      <c r="B28" s="1" t="s">
        <v>543</v>
      </c>
      <c r="C28" s="4">
        <v>70095</v>
      </c>
      <c r="D28" s="4"/>
      <c r="E28" s="1" t="s">
        <v>249</v>
      </c>
      <c r="F28" s="55">
        <v>14818.42</v>
      </c>
      <c r="G28" s="87">
        <v>13207.33</v>
      </c>
      <c r="H28" s="93">
        <v>16402.27</v>
      </c>
      <c r="I28" s="96">
        <v>22821.78</v>
      </c>
      <c r="J28" s="99">
        <v>11808.39</v>
      </c>
      <c r="K28" s="101">
        <v>8246.7099999999991</v>
      </c>
      <c r="L28" s="105">
        <v>10686.67</v>
      </c>
      <c r="M28" s="107">
        <v>11114.23</v>
      </c>
      <c r="N28" s="112">
        <v>13850.66</v>
      </c>
      <c r="O28" s="133">
        <v>14494.65</v>
      </c>
      <c r="P28" s="31">
        <v>16059.14</v>
      </c>
      <c r="Q28" s="141">
        <v>13810.51</v>
      </c>
      <c r="R28" s="8">
        <f t="shared" si="0"/>
        <v>167320.76</v>
      </c>
      <c r="S28" s="1">
        <f t="shared" si="1"/>
        <v>12</v>
      </c>
      <c r="T28" s="31">
        <f t="shared" si="2"/>
        <v>13943.396666666667</v>
      </c>
    </row>
    <row r="29" spans="2:20">
      <c r="C29" s="4">
        <v>7006902</v>
      </c>
      <c r="D29" s="4"/>
      <c r="E29" s="1" t="s">
        <v>249</v>
      </c>
      <c r="F29" s="55">
        <v>7487.42</v>
      </c>
      <c r="G29" s="87">
        <v>5739.19</v>
      </c>
      <c r="H29" s="93">
        <v>6633.87</v>
      </c>
      <c r="I29" s="96">
        <v>8897.66</v>
      </c>
      <c r="J29" s="99">
        <v>5439</v>
      </c>
      <c r="K29" s="101">
        <v>3841</v>
      </c>
      <c r="L29" s="105">
        <v>658</v>
      </c>
      <c r="M29" s="107">
        <v>713</v>
      </c>
      <c r="N29" s="112">
        <v>1001</v>
      </c>
      <c r="O29" s="133">
        <v>1880</v>
      </c>
      <c r="P29" s="31">
        <v>1444</v>
      </c>
      <c r="Q29" s="141">
        <v>953</v>
      </c>
      <c r="R29" s="8">
        <f t="shared" si="0"/>
        <v>44687.14</v>
      </c>
      <c r="S29" s="1">
        <f t="shared" si="1"/>
        <v>12</v>
      </c>
      <c r="T29" s="31">
        <f t="shared" si="2"/>
        <v>3723.9283333333333</v>
      </c>
    </row>
    <row r="30" spans="2:20">
      <c r="B30" s="1" t="s">
        <v>542</v>
      </c>
      <c r="C30" s="4">
        <v>15006999</v>
      </c>
      <c r="D30" s="4"/>
      <c r="E30" s="1" t="s">
        <v>322</v>
      </c>
      <c r="F30" s="55">
        <v>12919.33</v>
      </c>
      <c r="G30" s="87">
        <v>12199.63</v>
      </c>
      <c r="H30" s="93">
        <v>16553.89</v>
      </c>
      <c r="I30" s="96">
        <v>20360.88</v>
      </c>
      <c r="J30" s="99">
        <v>9633.52</v>
      </c>
      <c r="K30" s="101">
        <v>7874.2</v>
      </c>
      <c r="L30" s="105">
        <v>7919.83</v>
      </c>
      <c r="M30" s="107">
        <v>7996.14</v>
      </c>
      <c r="N30" s="112">
        <v>12187.7</v>
      </c>
      <c r="O30" s="133">
        <v>13532.73</v>
      </c>
      <c r="P30" s="31">
        <v>13408.51</v>
      </c>
      <c r="Q30" s="141">
        <v>12900.24</v>
      </c>
      <c r="R30" s="8">
        <f t="shared" si="0"/>
        <v>147486.59999999998</v>
      </c>
      <c r="S30" s="1">
        <f t="shared" si="1"/>
        <v>12</v>
      </c>
      <c r="T30" s="31">
        <f t="shared" si="2"/>
        <v>12290.549999999997</v>
      </c>
    </row>
    <row r="31" spans="2:20">
      <c r="C31" s="4">
        <v>15018015</v>
      </c>
      <c r="D31" s="4">
        <v>131</v>
      </c>
      <c r="E31" s="1" t="s">
        <v>250</v>
      </c>
      <c r="F31" s="55">
        <v>32489.71</v>
      </c>
      <c r="G31" s="87">
        <v>22839.81</v>
      </c>
      <c r="H31" s="93">
        <v>40712.89</v>
      </c>
      <c r="I31" s="96">
        <v>44442.78</v>
      </c>
      <c r="J31" s="101">
        <v>16580.32</v>
      </c>
      <c r="K31" s="105">
        <v>7937.82</v>
      </c>
      <c r="L31" s="107">
        <v>8005.26</v>
      </c>
      <c r="M31" s="112">
        <v>11452.97</v>
      </c>
      <c r="N31" s="133">
        <v>16183</v>
      </c>
      <c r="O31" s="31">
        <v>18004.34</v>
      </c>
      <c r="P31" s="141">
        <v>21764.29</v>
      </c>
      <c r="Q31" s="31">
        <v>22200</v>
      </c>
      <c r="R31" s="8">
        <f t="shared" si="0"/>
        <v>262613.19000000006</v>
      </c>
      <c r="S31" s="1">
        <f t="shared" si="1"/>
        <v>12</v>
      </c>
      <c r="T31" s="31">
        <f t="shared" si="2"/>
        <v>21884.432500000006</v>
      </c>
    </row>
    <row r="32" spans="2:20">
      <c r="B32" s="1" t="s">
        <v>541</v>
      </c>
      <c r="C32" s="4">
        <v>70092</v>
      </c>
      <c r="D32" s="4">
        <v>569</v>
      </c>
      <c r="E32" s="1" t="s">
        <v>93</v>
      </c>
      <c r="F32" s="55">
        <v>14625.18</v>
      </c>
      <c r="G32" s="87">
        <v>14100.9</v>
      </c>
      <c r="H32" s="93">
        <v>13125.6</v>
      </c>
      <c r="I32" s="96">
        <v>18649.11</v>
      </c>
      <c r="J32" s="99">
        <v>11057.77</v>
      </c>
      <c r="K32" s="101">
        <v>6095</v>
      </c>
      <c r="L32" s="107">
        <v>7302.78</v>
      </c>
      <c r="M32" s="112">
        <v>7246.66</v>
      </c>
      <c r="N32" s="133">
        <v>8928.7800000000007</v>
      </c>
      <c r="O32" s="31">
        <v>12140.25</v>
      </c>
      <c r="P32" s="141">
        <v>15300.56</v>
      </c>
      <c r="Q32" s="31">
        <v>13610.6</v>
      </c>
      <c r="R32" s="8">
        <f t="shared" si="0"/>
        <v>142183.19</v>
      </c>
      <c r="S32" s="1">
        <f t="shared" si="1"/>
        <v>12</v>
      </c>
      <c r="T32" s="31">
        <f t="shared" si="2"/>
        <v>11848.599166666667</v>
      </c>
    </row>
    <row r="33" spans="2:20">
      <c r="B33" s="1" t="s">
        <v>530</v>
      </c>
      <c r="C33" s="4">
        <v>70099</v>
      </c>
      <c r="D33" s="4">
        <v>3583</v>
      </c>
      <c r="E33" s="1" t="s">
        <v>105</v>
      </c>
      <c r="F33" s="55">
        <v>15884.22</v>
      </c>
      <c r="G33" s="87">
        <v>15368.38</v>
      </c>
      <c r="H33" s="93">
        <v>19252.71</v>
      </c>
      <c r="I33" s="96">
        <v>21046.45</v>
      </c>
      <c r="J33" s="99">
        <v>11582.65</v>
      </c>
      <c r="K33" s="101">
        <v>8072.89</v>
      </c>
      <c r="L33" s="105">
        <v>8030.07</v>
      </c>
      <c r="M33" s="107">
        <v>8942.8700000000008</v>
      </c>
      <c r="N33" s="112">
        <v>12082.7</v>
      </c>
      <c r="O33" s="133">
        <v>13494.31</v>
      </c>
      <c r="P33" s="31">
        <v>14025.01</v>
      </c>
      <c r="Q33" s="141">
        <v>13722.92</v>
      </c>
      <c r="R33" s="8">
        <f t="shared" si="0"/>
        <v>161505.18000000002</v>
      </c>
      <c r="S33" s="1">
        <f t="shared" si="1"/>
        <v>12</v>
      </c>
      <c r="T33" s="31">
        <f t="shared" si="2"/>
        <v>13458.765000000001</v>
      </c>
    </row>
    <row r="34" spans="2:20">
      <c r="B34" s="1" t="s">
        <v>530</v>
      </c>
      <c r="C34" s="4">
        <v>15006238</v>
      </c>
      <c r="D34" s="4">
        <v>4074</v>
      </c>
      <c r="E34" s="1" t="s">
        <v>325</v>
      </c>
      <c r="F34" s="55">
        <v>18176.18</v>
      </c>
      <c r="G34" s="87">
        <v>16050.77</v>
      </c>
      <c r="H34" s="93">
        <v>25744.9</v>
      </c>
      <c r="I34" s="96">
        <v>33935.360000000001</v>
      </c>
      <c r="J34" s="99">
        <v>12499.27</v>
      </c>
      <c r="K34" s="101">
        <v>8993.16</v>
      </c>
      <c r="L34" s="105">
        <v>8042.09</v>
      </c>
      <c r="M34" s="107">
        <v>11126.49</v>
      </c>
      <c r="N34" s="112">
        <v>13327.3</v>
      </c>
      <c r="O34" s="133">
        <v>18221.080000000002</v>
      </c>
      <c r="P34" s="31">
        <v>17532.650000000001</v>
      </c>
      <c r="Q34" s="141">
        <v>15713.79</v>
      </c>
      <c r="R34" s="8">
        <f t="shared" ref="R34:R69" si="3">+SUM(F34:Q34)</f>
        <v>199363.03999999998</v>
      </c>
      <c r="S34" s="1">
        <f t="shared" si="1"/>
        <v>12</v>
      </c>
      <c r="T34" s="31">
        <f t="shared" si="2"/>
        <v>16613.586666666666</v>
      </c>
    </row>
    <row r="35" spans="2:20">
      <c r="B35" s="1" t="s">
        <v>531</v>
      </c>
      <c r="C35" s="4">
        <v>70021</v>
      </c>
      <c r="D35" s="4">
        <v>645</v>
      </c>
      <c r="E35" s="1" t="s">
        <v>253</v>
      </c>
      <c r="F35" s="55">
        <v>47306.7</v>
      </c>
      <c r="G35" s="87">
        <v>42181.56</v>
      </c>
      <c r="H35" s="93">
        <v>78010.14</v>
      </c>
      <c r="I35" s="96">
        <v>112176.42</v>
      </c>
      <c r="J35" s="99">
        <v>45287.28</v>
      </c>
      <c r="K35" s="101">
        <v>34608.06</v>
      </c>
      <c r="L35" s="105">
        <v>33358.74</v>
      </c>
      <c r="M35" s="107">
        <v>29960.82</v>
      </c>
      <c r="N35" s="112">
        <v>53174.720000000001</v>
      </c>
      <c r="O35" s="133">
        <v>55316.639999999999</v>
      </c>
      <c r="P35" s="31">
        <v>61132.44</v>
      </c>
      <c r="Q35" s="141">
        <v>44017.279999999999</v>
      </c>
      <c r="R35" s="8">
        <f t="shared" si="3"/>
        <v>636530.80000000005</v>
      </c>
      <c r="S35" s="1">
        <f t="shared" ref="S35:S68" si="4">COUNT(F35:Q35)</f>
        <v>12</v>
      </c>
      <c r="T35" s="31">
        <f t="shared" ref="T35:T68" si="5">+R35/S35</f>
        <v>53044.233333333337</v>
      </c>
    </row>
    <row r="36" spans="2:20">
      <c r="B36" s="1" t="s">
        <v>540</v>
      </c>
      <c r="C36" s="4">
        <v>7002501</v>
      </c>
      <c r="D36" s="4"/>
      <c r="E36" s="1" t="s">
        <v>254</v>
      </c>
      <c r="F36" s="55">
        <v>3359</v>
      </c>
      <c r="G36" s="87">
        <v>3190</v>
      </c>
      <c r="H36" s="93">
        <v>3416.38</v>
      </c>
      <c r="I36" s="96">
        <v>4936</v>
      </c>
      <c r="J36" s="99">
        <v>2040</v>
      </c>
      <c r="K36" s="101">
        <v>1417</v>
      </c>
      <c r="L36" s="105">
        <v>1498</v>
      </c>
      <c r="M36" s="107">
        <v>1731</v>
      </c>
      <c r="N36" s="112">
        <v>2339</v>
      </c>
      <c r="O36" s="133">
        <v>2631</v>
      </c>
      <c r="P36" s="31">
        <v>3047</v>
      </c>
      <c r="Q36" s="141">
        <v>2976</v>
      </c>
      <c r="R36" s="8">
        <f t="shared" si="3"/>
        <v>32580.38</v>
      </c>
      <c r="S36" s="1">
        <f t="shared" si="4"/>
        <v>12</v>
      </c>
      <c r="T36" s="31">
        <f t="shared" si="5"/>
        <v>2715.0316666666668</v>
      </c>
    </row>
    <row r="37" spans="2:20">
      <c r="C37" s="42">
        <v>7002801</v>
      </c>
      <c r="D37" s="42"/>
      <c r="E37" s="11" t="s">
        <v>255</v>
      </c>
      <c r="F37" s="114"/>
      <c r="G37" s="116"/>
      <c r="H37" s="119"/>
      <c r="I37" s="120"/>
      <c r="J37" s="123"/>
      <c r="K37" s="124"/>
      <c r="L37" s="127"/>
      <c r="M37" s="128"/>
      <c r="N37" s="130"/>
      <c r="O37" s="134"/>
      <c r="P37" s="136"/>
      <c r="Q37" s="145"/>
      <c r="R37" s="8">
        <f t="shared" si="3"/>
        <v>0</v>
      </c>
      <c r="S37" s="1">
        <f t="shared" si="4"/>
        <v>0</v>
      </c>
      <c r="T37" s="31" t="e">
        <f t="shared" si="5"/>
        <v>#DIV/0!</v>
      </c>
    </row>
    <row r="38" spans="2:20">
      <c r="C38" s="4">
        <v>70026</v>
      </c>
      <c r="D38" s="4"/>
      <c r="E38" s="1" t="s">
        <v>256</v>
      </c>
      <c r="F38" s="55">
        <v>10930</v>
      </c>
      <c r="G38" s="87">
        <v>9929.3799999999992</v>
      </c>
      <c r="H38" s="93">
        <v>13757.24</v>
      </c>
      <c r="I38" s="96">
        <v>18713.310000000001</v>
      </c>
      <c r="J38" s="99">
        <v>5481.67</v>
      </c>
      <c r="K38" s="101">
        <v>3385.23</v>
      </c>
      <c r="L38" s="105">
        <v>2814.23</v>
      </c>
      <c r="M38" s="107">
        <v>2677.31</v>
      </c>
      <c r="N38" s="112">
        <v>4905.2700000000004</v>
      </c>
      <c r="O38" s="133">
        <v>9295.4599999999991</v>
      </c>
      <c r="P38" s="31">
        <v>11689.52</v>
      </c>
      <c r="Q38" s="141">
        <v>9963.64</v>
      </c>
      <c r="R38" s="8">
        <f t="shared" si="3"/>
        <v>103542.26000000001</v>
      </c>
      <c r="S38" s="1">
        <f t="shared" si="4"/>
        <v>12</v>
      </c>
      <c r="T38" s="31">
        <f t="shared" si="5"/>
        <v>8628.5216666666674</v>
      </c>
    </row>
    <row r="39" spans="2:20">
      <c r="B39" s="1" t="s">
        <v>537</v>
      </c>
      <c r="C39" s="4">
        <v>70076</v>
      </c>
      <c r="D39" s="4"/>
      <c r="E39" s="1" t="s">
        <v>258</v>
      </c>
      <c r="F39" s="55">
        <v>9284.3799999999992</v>
      </c>
      <c r="G39" s="87">
        <v>8167.62</v>
      </c>
      <c r="H39" s="93">
        <v>10917.28</v>
      </c>
      <c r="I39" s="96">
        <v>14983.97</v>
      </c>
      <c r="J39" s="99">
        <v>7060.66</v>
      </c>
      <c r="K39" s="101">
        <v>5355.91</v>
      </c>
      <c r="L39" s="105">
        <v>5367.09</v>
      </c>
      <c r="M39" s="107">
        <v>4895.96</v>
      </c>
      <c r="N39" s="112">
        <v>8081.17</v>
      </c>
      <c r="O39" s="133">
        <v>9338.2900000000009</v>
      </c>
      <c r="P39" s="31">
        <v>9436.77</v>
      </c>
      <c r="Q39" s="141">
        <v>8335.35</v>
      </c>
      <c r="R39" s="8">
        <f t="shared" si="3"/>
        <v>101224.45000000003</v>
      </c>
      <c r="S39" s="1">
        <f t="shared" si="4"/>
        <v>12</v>
      </c>
      <c r="T39" s="31">
        <f t="shared" si="5"/>
        <v>8435.3708333333361</v>
      </c>
    </row>
    <row r="40" spans="2:20">
      <c r="B40" s="1" t="s">
        <v>540</v>
      </c>
      <c r="C40" s="42">
        <v>70081</v>
      </c>
      <c r="D40" s="42">
        <v>140</v>
      </c>
      <c r="E40" s="11" t="s">
        <v>259</v>
      </c>
      <c r="F40" s="55">
        <v>38678.26</v>
      </c>
      <c r="G40" s="87">
        <v>34088.03</v>
      </c>
      <c r="H40" s="93">
        <v>74586.31</v>
      </c>
      <c r="I40" s="96">
        <v>78055.320000000007</v>
      </c>
      <c r="J40" s="99">
        <v>25972.240000000002</v>
      </c>
      <c r="K40" s="101">
        <v>18135.79</v>
      </c>
      <c r="L40" s="105">
        <v>15813.29</v>
      </c>
      <c r="M40" s="107">
        <v>23746.94</v>
      </c>
      <c r="N40" s="112">
        <v>29210.27</v>
      </c>
      <c r="O40" s="133">
        <v>32730.43</v>
      </c>
      <c r="P40" s="31">
        <v>42774.879999999997</v>
      </c>
      <c r="Q40" s="141">
        <v>33784.480000000003</v>
      </c>
      <c r="R40" s="8">
        <f t="shared" si="3"/>
        <v>447576.24</v>
      </c>
      <c r="S40" s="1">
        <f t="shared" si="4"/>
        <v>12</v>
      </c>
      <c r="T40" s="31">
        <f t="shared" si="5"/>
        <v>37298.019999999997</v>
      </c>
    </row>
    <row r="41" spans="2:20">
      <c r="B41" s="1" t="s">
        <v>537</v>
      </c>
      <c r="C41" s="4">
        <v>70062</v>
      </c>
      <c r="D41" s="4"/>
      <c r="E41" s="1" t="s">
        <v>260</v>
      </c>
      <c r="F41" s="55">
        <v>8717.6200000000008</v>
      </c>
      <c r="G41" s="87">
        <v>7788.6</v>
      </c>
      <c r="H41" s="93">
        <v>11783.05</v>
      </c>
      <c r="I41" s="96">
        <v>14801.8</v>
      </c>
      <c r="J41" s="99">
        <v>7302.61</v>
      </c>
      <c r="K41" s="101">
        <v>4114.3100000000004</v>
      </c>
      <c r="L41" s="105">
        <v>4217.1400000000003</v>
      </c>
      <c r="M41" s="107">
        <v>5442.34</v>
      </c>
      <c r="N41" s="112">
        <v>7555.97</v>
      </c>
      <c r="O41" s="133">
        <v>8922.33</v>
      </c>
      <c r="P41" s="31">
        <v>9313.15</v>
      </c>
      <c r="Q41" s="141">
        <v>8361.01</v>
      </c>
      <c r="R41" s="8">
        <f t="shared" si="3"/>
        <v>98319.93</v>
      </c>
      <c r="S41" s="1">
        <f t="shared" si="4"/>
        <v>12</v>
      </c>
      <c r="T41" s="31">
        <f t="shared" si="5"/>
        <v>8193.3274999999994</v>
      </c>
    </row>
    <row r="42" spans="2:20">
      <c r="C42" s="4">
        <v>70063</v>
      </c>
      <c r="D42" s="4"/>
      <c r="E42" s="1" t="s">
        <v>261</v>
      </c>
      <c r="F42" s="55">
        <v>10632.23</v>
      </c>
      <c r="G42" s="87">
        <v>10083.290000000001</v>
      </c>
      <c r="H42" s="93">
        <v>14388.1</v>
      </c>
      <c r="I42" s="96">
        <v>16779.14</v>
      </c>
      <c r="J42" s="99">
        <v>8688.9</v>
      </c>
      <c r="K42" s="101">
        <v>6119.66</v>
      </c>
      <c r="L42" s="105">
        <v>6020.98</v>
      </c>
      <c r="M42" s="107">
        <v>7152.24</v>
      </c>
      <c r="N42" s="112">
        <v>9276.4500000000007</v>
      </c>
      <c r="O42" s="133">
        <v>11066.1</v>
      </c>
      <c r="P42" s="31">
        <v>11245.03</v>
      </c>
      <c r="Q42" s="141">
        <v>10498.35</v>
      </c>
      <c r="R42" s="8">
        <f t="shared" si="3"/>
        <v>121950.47000000002</v>
      </c>
      <c r="S42" s="1">
        <f t="shared" si="4"/>
        <v>12</v>
      </c>
      <c r="T42" s="31">
        <f t="shared" si="5"/>
        <v>10162.539166666667</v>
      </c>
    </row>
    <row r="43" spans="2:20">
      <c r="B43" s="1" t="s">
        <v>545</v>
      </c>
      <c r="C43" s="4">
        <v>70027</v>
      </c>
      <c r="D43" s="4">
        <v>110</v>
      </c>
      <c r="E43" s="1" t="s">
        <v>262</v>
      </c>
      <c r="F43" s="55">
        <v>176.39</v>
      </c>
      <c r="G43" s="87">
        <v>191.01</v>
      </c>
      <c r="H43" s="93">
        <v>180.05</v>
      </c>
      <c r="I43" s="96">
        <v>221.88</v>
      </c>
      <c r="J43" s="99">
        <v>88.49</v>
      </c>
      <c r="K43" s="101">
        <v>179.2</v>
      </c>
      <c r="L43" s="105">
        <v>139.51</v>
      </c>
      <c r="M43" s="107">
        <v>118.4</v>
      </c>
      <c r="N43" s="133">
        <v>83.65</v>
      </c>
      <c r="O43" s="55">
        <v>80.95</v>
      </c>
      <c r="P43" s="55">
        <v>53.01</v>
      </c>
      <c r="Q43" s="55">
        <v>25.5</v>
      </c>
      <c r="R43" s="8">
        <f t="shared" si="3"/>
        <v>1538.0400000000002</v>
      </c>
      <c r="S43" s="1">
        <f t="shared" si="4"/>
        <v>12</v>
      </c>
      <c r="T43" s="31">
        <f t="shared" si="5"/>
        <v>128.17000000000002</v>
      </c>
    </row>
    <row r="44" spans="2:20">
      <c r="B44" s="1" t="s">
        <v>546</v>
      </c>
      <c r="C44" s="4">
        <v>70087</v>
      </c>
      <c r="D44" s="4">
        <v>773</v>
      </c>
      <c r="E44" s="1" t="s">
        <v>109</v>
      </c>
      <c r="F44" s="55">
        <v>917.28</v>
      </c>
      <c r="G44" s="87">
        <v>870.9</v>
      </c>
      <c r="H44" s="93">
        <v>2594.2800000000002</v>
      </c>
      <c r="I44" s="96">
        <v>2922.24</v>
      </c>
      <c r="J44" s="99">
        <v>964.5</v>
      </c>
      <c r="K44" s="101">
        <v>296.88</v>
      </c>
      <c r="L44" s="105">
        <v>522.24</v>
      </c>
      <c r="M44" s="107">
        <v>226.8</v>
      </c>
      <c r="N44" s="112">
        <v>898.98</v>
      </c>
      <c r="O44" s="133">
        <v>861.78</v>
      </c>
      <c r="P44" s="31">
        <v>1045.92</v>
      </c>
      <c r="Q44" s="141">
        <v>1477.32</v>
      </c>
      <c r="R44" s="8">
        <f t="shared" si="3"/>
        <v>13599.119999999999</v>
      </c>
      <c r="S44" s="1">
        <f t="shared" si="4"/>
        <v>12</v>
      </c>
      <c r="T44" s="31">
        <f t="shared" si="5"/>
        <v>1133.26</v>
      </c>
    </row>
    <row r="45" spans="2:20">
      <c r="B45" s="1" t="s">
        <v>532</v>
      </c>
      <c r="C45" s="4">
        <v>7002901</v>
      </c>
      <c r="D45" s="4">
        <v>121</v>
      </c>
      <c r="E45" s="1" t="s">
        <v>263</v>
      </c>
      <c r="F45" s="55">
        <v>3190.95</v>
      </c>
      <c r="G45" s="87">
        <v>2423.09</v>
      </c>
      <c r="H45" s="93">
        <v>2869.2</v>
      </c>
      <c r="I45" s="96">
        <v>4653.3900000000003</v>
      </c>
      <c r="J45" s="99">
        <v>2046.3</v>
      </c>
      <c r="K45" s="101">
        <v>1782.27</v>
      </c>
      <c r="L45" s="105">
        <v>1424.19</v>
      </c>
      <c r="M45" s="107">
        <v>1704.76</v>
      </c>
      <c r="N45" s="112">
        <v>2483.41</v>
      </c>
      <c r="O45" s="133">
        <v>3404.53</v>
      </c>
      <c r="P45" s="31">
        <v>2816.16</v>
      </c>
      <c r="Q45" s="141">
        <v>2498.25</v>
      </c>
      <c r="R45" s="8">
        <f t="shared" si="3"/>
        <v>31296.499999999996</v>
      </c>
      <c r="S45" s="1">
        <f t="shared" si="4"/>
        <v>12</v>
      </c>
      <c r="T45" s="31">
        <f t="shared" si="5"/>
        <v>2608.0416666666665</v>
      </c>
    </row>
    <row r="46" spans="2:20">
      <c r="B46" s="1" t="s">
        <v>531</v>
      </c>
      <c r="C46" s="4">
        <v>70088</v>
      </c>
      <c r="D46" s="4">
        <v>534</v>
      </c>
      <c r="E46" s="1" t="s">
        <v>88</v>
      </c>
      <c r="F46" s="55">
        <v>529.38</v>
      </c>
      <c r="G46" s="87">
        <v>630.52</v>
      </c>
      <c r="H46" s="93">
        <v>463.15</v>
      </c>
      <c r="I46" s="96">
        <v>1307.2</v>
      </c>
      <c r="J46" s="99">
        <v>616.76</v>
      </c>
      <c r="K46" s="101">
        <v>74.33</v>
      </c>
      <c r="L46" s="105">
        <v>119.01</v>
      </c>
      <c r="M46" s="107">
        <v>385.21</v>
      </c>
      <c r="N46" s="112">
        <v>299.64</v>
      </c>
      <c r="O46" s="133">
        <v>642</v>
      </c>
      <c r="P46" s="31">
        <v>1206.6199999999999</v>
      </c>
      <c r="Q46" s="141">
        <v>778.59</v>
      </c>
      <c r="R46" s="8">
        <f t="shared" si="3"/>
        <v>7052.4100000000008</v>
      </c>
      <c r="S46" s="1">
        <f t="shared" si="4"/>
        <v>12</v>
      </c>
      <c r="T46" s="31">
        <f t="shared" si="5"/>
        <v>587.70083333333343</v>
      </c>
    </row>
    <row r="47" spans="2:20">
      <c r="B47" s="1" t="s">
        <v>540</v>
      </c>
      <c r="C47" s="4">
        <v>70030</v>
      </c>
      <c r="D47" s="4">
        <v>134</v>
      </c>
      <c r="E47" s="1" t="s">
        <v>264</v>
      </c>
      <c r="F47" s="55">
        <v>60235.99</v>
      </c>
      <c r="G47" s="87">
        <v>72532.639999999999</v>
      </c>
      <c r="H47" s="93">
        <v>55047.46</v>
      </c>
      <c r="I47" s="96">
        <v>190136.97</v>
      </c>
      <c r="J47" s="99">
        <v>83131.45</v>
      </c>
      <c r="K47" s="101">
        <v>70152.33</v>
      </c>
      <c r="L47" s="105">
        <v>27011.42</v>
      </c>
      <c r="M47" s="107">
        <v>34114.67</v>
      </c>
      <c r="N47" s="112">
        <v>41594.800000000003</v>
      </c>
      <c r="O47" s="133">
        <v>61927.65</v>
      </c>
      <c r="P47" s="31">
        <v>76955.070000000007</v>
      </c>
      <c r="Q47" s="141">
        <v>60674.3</v>
      </c>
      <c r="R47" s="8">
        <f t="shared" si="3"/>
        <v>833514.75000000023</v>
      </c>
      <c r="S47" s="1">
        <f t="shared" si="4"/>
        <v>12</v>
      </c>
      <c r="T47" s="31">
        <f t="shared" si="5"/>
        <v>69459.562500000015</v>
      </c>
    </row>
    <row r="48" spans="2:20">
      <c r="B48" s="1" t="s">
        <v>533</v>
      </c>
      <c r="C48" s="4">
        <v>15013835</v>
      </c>
      <c r="D48" s="4">
        <v>4129</v>
      </c>
      <c r="E48" s="1" t="s">
        <v>331</v>
      </c>
      <c r="F48" s="55">
        <v>4668.1499999999996</v>
      </c>
      <c r="G48" s="87">
        <v>5425.83</v>
      </c>
      <c r="H48" s="93">
        <v>5041.58</v>
      </c>
      <c r="I48" s="96">
        <v>4161.54</v>
      </c>
      <c r="J48" s="99">
        <v>4320.9799999999996</v>
      </c>
      <c r="K48" s="101">
        <v>3696.22</v>
      </c>
      <c r="L48" s="105">
        <v>3239.39</v>
      </c>
      <c r="M48" s="107">
        <v>3985.32</v>
      </c>
      <c r="N48" s="112">
        <v>4791.6400000000003</v>
      </c>
      <c r="O48" s="133">
        <v>5041.8100000000004</v>
      </c>
      <c r="P48" s="31">
        <v>4814.3900000000003</v>
      </c>
      <c r="Q48" s="141">
        <v>4818.8900000000003</v>
      </c>
      <c r="R48" s="8">
        <f t="shared" si="3"/>
        <v>54005.74</v>
      </c>
      <c r="S48" s="1">
        <f t="shared" si="4"/>
        <v>12</v>
      </c>
      <c r="T48" s="31">
        <f t="shared" si="5"/>
        <v>4500.4783333333335</v>
      </c>
    </row>
    <row r="49" spans="2:20">
      <c r="B49" s="1" t="s">
        <v>532</v>
      </c>
      <c r="C49" s="4">
        <v>7005102</v>
      </c>
      <c r="D49" s="4">
        <v>111</v>
      </c>
      <c r="E49" s="1" t="s">
        <v>265</v>
      </c>
      <c r="F49" s="55">
        <v>6859.53</v>
      </c>
      <c r="G49" s="87">
        <v>5589.95</v>
      </c>
      <c r="H49" s="93">
        <v>8343.94</v>
      </c>
      <c r="I49" s="96">
        <v>10045.85</v>
      </c>
      <c r="J49" s="99">
        <v>4247.22</v>
      </c>
      <c r="K49" s="101">
        <v>3542.81</v>
      </c>
      <c r="L49" s="105">
        <v>2967.76</v>
      </c>
      <c r="M49" s="107">
        <v>3978.95</v>
      </c>
      <c r="N49" s="112">
        <v>5107.55</v>
      </c>
      <c r="O49" s="133">
        <v>6474.66</v>
      </c>
      <c r="P49" s="31">
        <v>5877.95</v>
      </c>
      <c r="Q49" s="141">
        <v>5799.3</v>
      </c>
      <c r="R49" s="8">
        <f t="shared" si="3"/>
        <v>68835.47</v>
      </c>
      <c r="S49" s="1">
        <f t="shared" si="4"/>
        <v>12</v>
      </c>
      <c r="T49" s="31">
        <f t="shared" si="5"/>
        <v>5736.2891666666665</v>
      </c>
    </row>
    <row r="50" spans="2:20">
      <c r="C50" s="4">
        <v>70055</v>
      </c>
      <c r="D50" s="4">
        <v>112</v>
      </c>
      <c r="E50" s="1" t="s">
        <v>266</v>
      </c>
      <c r="F50" s="55">
        <v>6160.52</v>
      </c>
      <c r="G50" s="87">
        <v>5555.3</v>
      </c>
      <c r="H50" s="93">
        <v>6094.07</v>
      </c>
      <c r="I50" s="96">
        <v>6772.79</v>
      </c>
      <c r="J50" s="99">
        <v>4774.91</v>
      </c>
      <c r="K50" s="101">
        <v>4534.71</v>
      </c>
      <c r="L50" s="105">
        <v>3914.16</v>
      </c>
      <c r="M50" s="107">
        <v>4212.8999999999996</v>
      </c>
      <c r="N50" s="112">
        <v>5154.96</v>
      </c>
      <c r="O50" s="133">
        <v>5846.35</v>
      </c>
      <c r="P50" s="31">
        <v>5398.65</v>
      </c>
      <c r="Q50" s="141">
        <v>5181.33</v>
      </c>
      <c r="R50" s="8">
        <f t="shared" si="3"/>
        <v>63600.650000000009</v>
      </c>
      <c r="S50" s="1">
        <f t="shared" si="4"/>
        <v>12</v>
      </c>
      <c r="T50" s="31">
        <f t="shared" si="5"/>
        <v>5300.0541666666677</v>
      </c>
    </row>
    <row r="51" spans="2:20">
      <c r="B51" s="1" t="s">
        <v>535</v>
      </c>
      <c r="C51" s="4">
        <v>7003101</v>
      </c>
      <c r="D51" s="4">
        <v>113</v>
      </c>
      <c r="E51" s="1" t="s">
        <v>267</v>
      </c>
      <c r="F51" s="55">
        <v>861.71</v>
      </c>
      <c r="G51" s="87">
        <v>855.15</v>
      </c>
      <c r="H51" s="93">
        <v>860.98</v>
      </c>
      <c r="I51" s="96">
        <v>976.69</v>
      </c>
      <c r="J51" s="99">
        <v>680.58</v>
      </c>
      <c r="K51" s="101">
        <v>462.52</v>
      </c>
      <c r="L51" s="105">
        <v>459.92</v>
      </c>
      <c r="M51" s="107">
        <v>544.88</v>
      </c>
      <c r="N51" s="112">
        <v>704.14</v>
      </c>
      <c r="O51" s="133">
        <v>821.82</v>
      </c>
      <c r="P51" s="31">
        <v>750.6</v>
      </c>
      <c r="Q51" s="141">
        <v>657.28</v>
      </c>
      <c r="R51" s="8">
        <f t="shared" si="3"/>
        <v>8636.2700000000023</v>
      </c>
      <c r="S51" s="1">
        <f t="shared" si="4"/>
        <v>12</v>
      </c>
      <c r="T51" s="31">
        <f t="shared" si="5"/>
        <v>719.68916666666689</v>
      </c>
    </row>
    <row r="52" spans="2:20">
      <c r="B52" s="1" t="s">
        <v>535</v>
      </c>
      <c r="C52" s="4">
        <v>7003201</v>
      </c>
      <c r="D52" s="4">
        <v>4130</v>
      </c>
      <c r="E52" s="1" t="s">
        <v>330</v>
      </c>
      <c r="F52" s="55">
        <v>8292.73</v>
      </c>
      <c r="G52" s="87">
        <v>8172.57</v>
      </c>
      <c r="H52" s="93">
        <v>9499.83</v>
      </c>
      <c r="I52" s="96">
        <v>12260.57</v>
      </c>
      <c r="J52" s="99">
        <v>4183.3900000000003</v>
      </c>
      <c r="K52" s="101">
        <v>2613.65</v>
      </c>
      <c r="L52" s="105">
        <v>3169.82</v>
      </c>
      <c r="M52" s="107">
        <v>3710.36</v>
      </c>
      <c r="N52" s="112">
        <v>6835.59</v>
      </c>
      <c r="O52" s="133">
        <v>8059.2</v>
      </c>
      <c r="P52" s="31">
        <v>8269.91</v>
      </c>
      <c r="Q52" s="141">
        <v>6992.48</v>
      </c>
      <c r="R52" s="8">
        <f t="shared" si="3"/>
        <v>82060.099999999991</v>
      </c>
      <c r="S52" s="1">
        <f t="shared" si="4"/>
        <v>12</v>
      </c>
      <c r="T52" s="31">
        <f t="shared" si="5"/>
        <v>6838.3416666666662</v>
      </c>
    </row>
    <row r="53" spans="2:20">
      <c r="B53" s="1" t="s">
        <v>535</v>
      </c>
      <c r="C53" s="4">
        <v>7008901</v>
      </c>
      <c r="D53" s="4">
        <v>135</v>
      </c>
      <c r="E53" s="1" t="s">
        <v>268</v>
      </c>
      <c r="F53" s="55">
        <v>5873.22</v>
      </c>
      <c r="G53" s="87">
        <v>3988.8</v>
      </c>
      <c r="H53" s="96">
        <v>7751.16</v>
      </c>
      <c r="I53" s="96">
        <v>11752.32</v>
      </c>
      <c r="J53" s="99">
        <v>2578.62</v>
      </c>
      <c r="K53" s="101">
        <v>1556.94</v>
      </c>
      <c r="L53" s="107">
        <v>1496.82</v>
      </c>
      <c r="M53" s="107">
        <v>1485.9</v>
      </c>
      <c r="N53" s="112">
        <v>2567.88</v>
      </c>
      <c r="O53" s="133">
        <v>4866.18</v>
      </c>
      <c r="P53" s="31">
        <v>4533.42</v>
      </c>
      <c r="Q53" s="141">
        <v>4265.28</v>
      </c>
      <c r="R53" s="8">
        <f t="shared" si="3"/>
        <v>52716.539999999994</v>
      </c>
      <c r="S53" s="1">
        <f t="shared" si="4"/>
        <v>12</v>
      </c>
      <c r="T53" s="31">
        <f t="shared" si="5"/>
        <v>4393.0449999999992</v>
      </c>
    </row>
    <row r="54" spans="2:20">
      <c r="B54" s="1" t="s">
        <v>531</v>
      </c>
      <c r="C54" s="4">
        <v>70035</v>
      </c>
      <c r="D54" s="4">
        <v>136</v>
      </c>
      <c r="E54" s="1" t="s">
        <v>350</v>
      </c>
      <c r="F54" s="55">
        <v>50471.85</v>
      </c>
      <c r="G54" s="87">
        <v>38501.269999999997</v>
      </c>
      <c r="H54" s="93">
        <v>91961.56</v>
      </c>
      <c r="I54" s="96">
        <v>118577.21</v>
      </c>
      <c r="J54" s="99">
        <v>38932.230000000003</v>
      </c>
      <c r="K54" s="101">
        <v>29070.92</v>
      </c>
      <c r="L54" s="105">
        <v>25892.87</v>
      </c>
      <c r="M54" s="107">
        <v>32403.29</v>
      </c>
      <c r="N54" s="112">
        <v>46075.46</v>
      </c>
      <c r="O54" s="133">
        <v>49743.51</v>
      </c>
      <c r="P54" s="31">
        <v>58358.71</v>
      </c>
      <c r="Q54" s="141">
        <v>39172.25</v>
      </c>
      <c r="R54" s="8">
        <f t="shared" si="3"/>
        <v>619161.13</v>
      </c>
      <c r="S54" s="1">
        <f t="shared" si="4"/>
        <v>12</v>
      </c>
      <c r="T54" s="31">
        <f t="shared" si="5"/>
        <v>51596.760833333334</v>
      </c>
    </row>
    <row r="55" spans="2:20">
      <c r="B55" s="1" t="s">
        <v>538</v>
      </c>
      <c r="C55" s="4">
        <v>7001502</v>
      </c>
      <c r="D55" s="4">
        <v>128</v>
      </c>
      <c r="E55" s="1" t="s">
        <v>270</v>
      </c>
      <c r="F55" s="55">
        <v>7392.38</v>
      </c>
      <c r="G55" s="87">
        <v>5391.24</v>
      </c>
      <c r="H55" s="93">
        <v>10318.280000000001</v>
      </c>
      <c r="I55" s="96">
        <v>14678.84</v>
      </c>
      <c r="J55" s="99">
        <v>3177.69</v>
      </c>
      <c r="K55" s="101">
        <v>2433.39</v>
      </c>
      <c r="L55" s="105">
        <v>2259.9299999999998</v>
      </c>
      <c r="M55" s="107">
        <v>2613.23</v>
      </c>
      <c r="N55" s="112">
        <v>3656.25</v>
      </c>
      <c r="O55" s="133">
        <v>6548.59</v>
      </c>
      <c r="P55" s="31">
        <v>5445.98</v>
      </c>
      <c r="Q55" s="141">
        <v>5406.25</v>
      </c>
      <c r="R55" s="8">
        <f t="shared" si="3"/>
        <v>69322.05</v>
      </c>
      <c r="S55" s="1">
        <f t="shared" si="4"/>
        <v>12</v>
      </c>
      <c r="T55" s="31">
        <f t="shared" si="5"/>
        <v>5776.8375000000005</v>
      </c>
    </row>
    <row r="56" spans="2:20">
      <c r="B56" s="1" t="s">
        <v>532</v>
      </c>
      <c r="C56" s="4">
        <v>70084</v>
      </c>
      <c r="D56" s="4">
        <v>209</v>
      </c>
      <c r="E56" s="1" t="s">
        <v>271</v>
      </c>
      <c r="F56" s="55">
        <v>5311.65</v>
      </c>
      <c r="G56" s="87">
        <v>3682.15</v>
      </c>
      <c r="H56" s="93">
        <v>4681.88</v>
      </c>
      <c r="I56" s="96">
        <v>9389.42</v>
      </c>
      <c r="J56" s="99">
        <v>2898.41</v>
      </c>
      <c r="K56" s="101">
        <v>2511.34</v>
      </c>
      <c r="L56" s="105">
        <v>2436.67</v>
      </c>
      <c r="M56" s="107">
        <v>2786.36</v>
      </c>
      <c r="N56" s="112">
        <v>3784.6</v>
      </c>
      <c r="O56" s="133">
        <v>4027.14</v>
      </c>
      <c r="P56" s="31">
        <v>3180.86</v>
      </c>
      <c r="Q56" s="141">
        <v>2872.14</v>
      </c>
      <c r="R56" s="8">
        <f t="shared" si="3"/>
        <v>47562.619999999995</v>
      </c>
      <c r="S56" s="1">
        <f t="shared" si="4"/>
        <v>12</v>
      </c>
      <c r="T56" s="31">
        <f t="shared" si="5"/>
        <v>3963.5516666666663</v>
      </c>
    </row>
    <row r="57" spans="2:20">
      <c r="C57" s="4">
        <v>15012301</v>
      </c>
      <c r="D57" s="4"/>
      <c r="E57" s="1" t="s">
        <v>323</v>
      </c>
      <c r="F57" s="55">
        <f>337+189.25</f>
        <v>526.25</v>
      </c>
      <c r="G57" s="116"/>
      <c r="H57" s="119"/>
      <c r="I57" s="120"/>
      <c r="J57" s="123"/>
      <c r="K57" s="124"/>
      <c r="L57" s="127"/>
      <c r="M57" s="107">
        <v>739.31</v>
      </c>
      <c r="N57" s="112">
        <v>92.41</v>
      </c>
      <c r="O57" s="134"/>
      <c r="P57" s="136"/>
      <c r="Q57" s="145"/>
      <c r="R57" s="8">
        <f t="shared" si="3"/>
        <v>1357.97</v>
      </c>
      <c r="S57" s="1">
        <f t="shared" si="4"/>
        <v>3</v>
      </c>
      <c r="T57" s="31">
        <f t="shared" si="5"/>
        <v>452.65666666666669</v>
      </c>
    </row>
    <row r="58" spans="2:20">
      <c r="B58" s="1" t="s">
        <v>538</v>
      </c>
      <c r="C58" s="4">
        <v>15007129</v>
      </c>
      <c r="D58" s="4"/>
      <c r="E58" s="1" t="s">
        <v>273</v>
      </c>
      <c r="F58" s="55">
        <v>7969.13</v>
      </c>
      <c r="G58" s="87">
        <v>7133.64</v>
      </c>
      <c r="H58" s="93">
        <v>10186.35</v>
      </c>
      <c r="I58" s="96">
        <v>12393.86</v>
      </c>
      <c r="J58" s="99">
        <v>4013.09</v>
      </c>
      <c r="K58" s="101">
        <v>5155.1899999999996</v>
      </c>
      <c r="L58" s="105">
        <v>3443.24</v>
      </c>
      <c r="M58" s="107">
        <v>3805.65</v>
      </c>
      <c r="N58" s="112">
        <v>4759.09</v>
      </c>
      <c r="O58" s="133">
        <v>5771.78</v>
      </c>
      <c r="P58" s="31">
        <v>5658</v>
      </c>
      <c r="Q58" s="141">
        <v>4872.76</v>
      </c>
      <c r="R58" s="8">
        <f t="shared" si="3"/>
        <v>75161.78</v>
      </c>
      <c r="S58" s="1">
        <f t="shared" si="4"/>
        <v>12</v>
      </c>
      <c r="T58" s="31">
        <f t="shared" si="5"/>
        <v>6263.4816666666666</v>
      </c>
    </row>
    <row r="59" spans="2:20">
      <c r="B59" s="1" t="s">
        <v>541</v>
      </c>
      <c r="C59" s="4">
        <v>15013110</v>
      </c>
      <c r="D59" s="4"/>
      <c r="E59" s="1" t="s">
        <v>272</v>
      </c>
      <c r="F59" s="55">
        <v>6535.67</v>
      </c>
      <c r="G59" s="87">
        <v>5596.05</v>
      </c>
      <c r="H59" s="93">
        <v>10201.56</v>
      </c>
      <c r="I59" s="96">
        <v>12534.92</v>
      </c>
      <c r="J59" s="99">
        <v>6437.36</v>
      </c>
      <c r="K59" s="101">
        <v>3079.66</v>
      </c>
      <c r="L59" s="105">
        <v>5458.95</v>
      </c>
      <c r="M59" s="107">
        <v>5861.83</v>
      </c>
      <c r="N59" s="112">
        <v>7055.62</v>
      </c>
      <c r="O59" s="133">
        <v>8307.33</v>
      </c>
      <c r="P59" s="31">
        <v>7122.36</v>
      </c>
      <c r="Q59" s="141">
        <v>7262.57</v>
      </c>
      <c r="R59" s="8">
        <f t="shared" si="3"/>
        <v>85453.88</v>
      </c>
      <c r="S59" s="1">
        <f t="shared" si="4"/>
        <v>12</v>
      </c>
      <c r="T59" s="31">
        <f t="shared" si="5"/>
        <v>7121.1566666666668</v>
      </c>
    </row>
    <row r="60" spans="2:20">
      <c r="C60" s="4">
        <v>70082</v>
      </c>
      <c r="D60" s="4"/>
      <c r="E60" s="1" t="s">
        <v>347</v>
      </c>
      <c r="F60" s="55">
        <v>7219.65</v>
      </c>
      <c r="G60" s="87">
        <v>6098.03</v>
      </c>
      <c r="H60" s="93">
        <v>9062.67</v>
      </c>
      <c r="I60" s="96">
        <v>12575.03</v>
      </c>
      <c r="J60" s="101">
        <v>4195.1099999999997</v>
      </c>
      <c r="K60" s="101">
        <v>3683.21</v>
      </c>
      <c r="L60" s="105">
        <v>2788.44</v>
      </c>
      <c r="M60" s="133">
        <v>3524.14</v>
      </c>
      <c r="N60" s="112">
        <v>5133.8</v>
      </c>
      <c r="O60" s="133">
        <v>6004.23</v>
      </c>
      <c r="P60" s="31">
        <v>6253.3</v>
      </c>
      <c r="Q60" s="141">
        <v>5030.2299999999996</v>
      </c>
      <c r="R60" s="8">
        <f t="shared" si="3"/>
        <v>71567.839999999997</v>
      </c>
      <c r="S60" s="1">
        <f t="shared" si="4"/>
        <v>12</v>
      </c>
      <c r="T60" s="31">
        <f t="shared" si="5"/>
        <v>5963.9866666666667</v>
      </c>
    </row>
    <row r="61" spans="2:20">
      <c r="C61" s="4">
        <v>15020408</v>
      </c>
      <c r="D61" s="4"/>
      <c r="E61" s="1" t="s">
        <v>367</v>
      </c>
      <c r="F61" s="114"/>
      <c r="G61" s="116"/>
      <c r="H61" s="119"/>
      <c r="I61" s="96">
        <v>294.73</v>
      </c>
      <c r="J61" s="123"/>
      <c r="K61" s="124"/>
      <c r="L61" s="105">
        <v>63.84</v>
      </c>
      <c r="M61" s="128"/>
      <c r="N61" s="130"/>
      <c r="O61" s="134"/>
      <c r="P61" s="31">
        <v>206.04</v>
      </c>
      <c r="Q61" s="141">
        <v>159.09</v>
      </c>
      <c r="R61" s="8">
        <f t="shared" si="3"/>
        <v>723.7</v>
      </c>
      <c r="T61" s="31"/>
    </row>
    <row r="62" spans="2:20">
      <c r="B62" s="1" t="s">
        <v>535</v>
      </c>
      <c r="C62" s="4">
        <v>7004001</v>
      </c>
      <c r="D62" s="4">
        <v>116</v>
      </c>
      <c r="E62" s="1" t="s">
        <v>277</v>
      </c>
      <c r="F62" s="55">
        <f>5764.18+7981.74</f>
        <v>13745.92</v>
      </c>
      <c r="G62" s="87">
        <v>13423.35</v>
      </c>
      <c r="H62" s="93">
        <v>17749.96</v>
      </c>
      <c r="I62" s="96">
        <v>20162.73</v>
      </c>
      <c r="J62" s="99">
        <v>11103.93</v>
      </c>
      <c r="K62" s="101">
        <v>5333.03</v>
      </c>
      <c r="L62" s="105">
        <v>5754.73</v>
      </c>
      <c r="M62" s="107">
        <v>9160.2999999999993</v>
      </c>
      <c r="N62" s="112">
        <v>11166.4</v>
      </c>
      <c r="O62" s="133">
        <v>11974.94</v>
      </c>
      <c r="P62" s="31">
        <v>5471.6</v>
      </c>
      <c r="Q62" s="141">
        <v>5346.93</v>
      </c>
      <c r="R62" s="8">
        <f t="shared" si="3"/>
        <v>130393.81999999998</v>
      </c>
      <c r="S62" s="1">
        <f t="shared" si="4"/>
        <v>12</v>
      </c>
      <c r="T62" s="31">
        <f t="shared" si="5"/>
        <v>10866.151666666665</v>
      </c>
    </row>
    <row r="63" spans="2:20">
      <c r="B63" s="1" t="s">
        <v>537</v>
      </c>
      <c r="C63" s="4">
        <v>15020277</v>
      </c>
      <c r="D63" s="4"/>
      <c r="E63" s="1" t="s">
        <v>364</v>
      </c>
      <c r="F63" s="114"/>
      <c r="G63" s="116"/>
      <c r="H63" s="93">
        <v>17331.349999999999</v>
      </c>
      <c r="I63" s="96">
        <v>22339.279999999999</v>
      </c>
      <c r="J63" s="99">
        <v>14454.18</v>
      </c>
      <c r="K63" s="101">
        <v>9157.31</v>
      </c>
      <c r="L63" s="105">
        <v>12307.4</v>
      </c>
      <c r="M63" s="107">
        <v>13664.16</v>
      </c>
      <c r="N63" s="112">
        <v>16065.99</v>
      </c>
      <c r="O63" s="133">
        <v>18285.91</v>
      </c>
      <c r="P63" s="31">
        <v>19044.96</v>
      </c>
      <c r="Q63" s="141">
        <v>17319.39</v>
      </c>
      <c r="R63" s="8">
        <f t="shared" si="3"/>
        <v>159969.93</v>
      </c>
      <c r="T63" s="31"/>
    </row>
    <row r="64" spans="2:20">
      <c r="B64" s="1" t="s">
        <v>530</v>
      </c>
      <c r="C64" s="4">
        <v>15003405</v>
      </c>
      <c r="D64" s="4">
        <v>556</v>
      </c>
      <c r="E64" s="1" t="s">
        <v>90</v>
      </c>
      <c r="F64" s="55">
        <v>16258.81</v>
      </c>
      <c r="G64" s="87">
        <v>15967.66</v>
      </c>
      <c r="H64" s="93">
        <v>22176.51</v>
      </c>
      <c r="I64" s="96">
        <v>25093.51</v>
      </c>
      <c r="J64" s="99">
        <v>12780.85</v>
      </c>
      <c r="K64" s="101">
        <v>8573.4599999999991</v>
      </c>
      <c r="L64" s="105">
        <v>11484.94</v>
      </c>
      <c r="M64" s="107">
        <v>12194.85</v>
      </c>
      <c r="N64" s="112">
        <v>13562.84</v>
      </c>
      <c r="O64" s="133">
        <v>13155.82</v>
      </c>
      <c r="P64" s="31">
        <v>15108.55</v>
      </c>
      <c r="Q64" s="141">
        <v>14554.65</v>
      </c>
      <c r="R64" s="8">
        <f t="shared" si="3"/>
        <v>180912.44999999998</v>
      </c>
      <c r="S64" s="1">
        <f t="shared" si="4"/>
        <v>12</v>
      </c>
      <c r="T64" s="31">
        <f t="shared" si="5"/>
        <v>15076.037499999999</v>
      </c>
    </row>
    <row r="65" spans="2:20">
      <c r="B65" s="1" t="s">
        <v>539</v>
      </c>
      <c r="C65" s="4">
        <v>15005530</v>
      </c>
      <c r="D65" s="4">
        <v>107</v>
      </c>
      <c r="E65" s="1" t="s">
        <v>278</v>
      </c>
      <c r="F65" s="55">
        <v>1505.48</v>
      </c>
      <c r="G65" s="87">
        <v>1590.72</v>
      </c>
      <c r="H65" s="93">
        <v>1658.37</v>
      </c>
      <c r="I65" s="96">
        <v>2823.49</v>
      </c>
      <c r="J65" s="99">
        <v>867.95</v>
      </c>
      <c r="K65" s="101">
        <v>567.88</v>
      </c>
      <c r="L65" s="127"/>
      <c r="M65" s="133">
        <v>361.37</v>
      </c>
      <c r="N65" s="133">
        <v>751.32</v>
      </c>
      <c r="O65" s="133">
        <v>1434.77</v>
      </c>
      <c r="P65" s="141">
        <v>1084.68</v>
      </c>
      <c r="Q65" s="141">
        <v>912.63</v>
      </c>
      <c r="R65" s="8">
        <f t="shared" si="3"/>
        <v>13558.66</v>
      </c>
      <c r="S65" s="1">
        <f t="shared" si="4"/>
        <v>11</v>
      </c>
      <c r="T65" s="31">
        <f t="shared" si="5"/>
        <v>1232.6054545454544</v>
      </c>
    </row>
    <row r="66" spans="2:20">
      <c r="B66" s="1" t="s">
        <v>530</v>
      </c>
      <c r="C66" s="42">
        <v>70080</v>
      </c>
      <c r="D66" s="42">
        <v>118</v>
      </c>
      <c r="E66" s="11" t="s">
        <v>280</v>
      </c>
      <c r="F66" s="55">
        <v>3452.21</v>
      </c>
      <c r="G66" s="87">
        <v>3171.33</v>
      </c>
      <c r="H66" s="93">
        <v>6052.44</v>
      </c>
      <c r="I66" s="96">
        <v>7292.67</v>
      </c>
      <c r="J66" s="99">
        <v>3494.25</v>
      </c>
      <c r="K66" s="101">
        <v>3119.73</v>
      </c>
      <c r="L66" s="105">
        <v>2333.29</v>
      </c>
      <c r="M66" s="107">
        <v>2970.66</v>
      </c>
      <c r="N66" s="112">
        <v>3925.38</v>
      </c>
      <c r="O66" s="133">
        <v>4574.99</v>
      </c>
      <c r="P66" s="31">
        <v>4032.87</v>
      </c>
      <c r="Q66" s="141">
        <v>3148.85</v>
      </c>
      <c r="R66" s="8">
        <f t="shared" si="3"/>
        <v>47568.67</v>
      </c>
      <c r="S66" s="1">
        <f t="shared" si="4"/>
        <v>12</v>
      </c>
      <c r="T66" s="31">
        <f t="shared" si="5"/>
        <v>3964.0558333333333</v>
      </c>
    </row>
    <row r="67" spans="2:20">
      <c r="B67" s="1" t="s">
        <v>548</v>
      </c>
      <c r="C67" s="4">
        <v>70046</v>
      </c>
      <c r="D67" s="4">
        <v>119</v>
      </c>
      <c r="E67" s="1" t="s">
        <v>281</v>
      </c>
      <c r="F67" s="55">
        <v>704.86</v>
      </c>
      <c r="G67" s="87">
        <v>629.1</v>
      </c>
      <c r="H67" s="93">
        <v>778.44</v>
      </c>
      <c r="I67" s="96">
        <v>754.32</v>
      </c>
      <c r="J67" s="99">
        <v>632.04</v>
      </c>
      <c r="K67" s="101">
        <v>480.48</v>
      </c>
      <c r="L67" s="105">
        <v>534.12</v>
      </c>
      <c r="M67" s="107">
        <v>617.34</v>
      </c>
      <c r="N67" s="112">
        <v>778.62</v>
      </c>
      <c r="O67" s="133">
        <v>813.55</v>
      </c>
      <c r="P67" s="31">
        <v>875.79</v>
      </c>
      <c r="Q67" s="141">
        <v>736.61</v>
      </c>
      <c r="R67" s="8">
        <f t="shared" si="3"/>
        <v>8335.27</v>
      </c>
      <c r="S67" s="1">
        <f t="shared" si="4"/>
        <v>12</v>
      </c>
      <c r="T67" s="31">
        <f t="shared" si="5"/>
        <v>694.60583333333341</v>
      </c>
    </row>
    <row r="68" spans="2:20">
      <c r="B68" s="1" t="s">
        <v>543</v>
      </c>
      <c r="C68" s="4">
        <v>15003403</v>
      </c>
      <c r="D68" s="4">
        <v>568</v>
      </c>
      <c r="E68" s="1" t="s">
        <v>91</v>
      </c>
      <c r="F68" s="55">
        <v>17202.54</v>
      </c>
      <c r="G68" s="87">
        <v>16013.16</v>
      </c>
      <c r="H68" s="93">
        <v>21935.040000000001</v>
      </c>
      <c r="I68" s="96">
        <v>27201.88</v>
      </c>
      <c r="J68" s="99">
        <v>12198.83</v>
      </c>
      <c r="K68" s="101">
        <v>7863.73</v>
      </c>
      <c r="L68" s="105">
        <v>9331.8700000000008</v>
      </c>
      <c r="M68" s="31">
        <v>12797.31</v>
      </c>
      <c r="N68" s="112">
        <v>14303.02</v>
      </c>
      <c r="O68" s="133">
        <v>14248.6</v>
      </c>
      <c r="P68" s="31">
        <v>16435.7</v>
      </c>
      <c r="Q68" s="141">
        <v>14110.91</v>
      </c>
      <c r="R68" s="8">
        <f t="shared" si="3"/>
        <v>183642.59</v>
      </c>
      <c r="S68" s="1">
        <f t="shared" si="4"/>
        <v>12</v>
      </c>
      <c r="T68" s="31">
        <f t="shared" si="5"/>
        <v>15303.549166666666</v>
      </c>
    </row>
    <row r="69" spans="2:20">
      <c r="C69" s="4">
        <v>70054</v>
      </c>
      <c r="D69" s="4"/>
      <c r="E69" s="1" t="s">
        <v>282</v>
      </c>
      <c r="F69" s="114"/>
      <c r="G69" s="116"/>
      <c r="H69" s="119"/>
      <c r="I69" s="120"/>
      <c r="J69" s="123"/>
      <c r="K69" s="124"/>
      <c r="L69" s="127"/>
      <c r="M69" s="128"/>
      <c r="N69" s="130"/>
      <c r="O69" s="134"/>
      <c r="P69" s="136"/>
      <c r="Q69" s="145"/>
      <c r="R69" s="8">
        <f t="shared" si="3"/>
        <v>0</v>
      </c>
      <c r="S69" s="1">
        <f t="shared" ref="S69:S79" si="6">COUNT(F69:Q69)</f>
        <v>0</v>
      </c>
      <c r="T69" s="31" t="e">
        <f t="shared" ref="T69:T79" si="7">+R69/S69</f>
        <v>#DIV/0!</v>
      </c>
    </row>
    <row r="70" spans="2:20">
      <c r="B70" s="1" t="s">
        <v>533</v>
      </c>
      <c r="C70" s="4">
        <v>70048</v>
      </c>
      <c r="D70" s="4"/>
      <c r="E70" s="1" t="s">
        <v>283</v>
      </c>
      <c r="F70" s="55">
        <v>2913.09</v>
      </c>
      <c r="G70" s="87">
        <v>2685.24</v>
      </c>
      <c r="H70" s="93">
        <v>3445.5</v>
      </c>
      <c r="I70" s="96">
        <f>1125.4+2572.87</f>
        <v>3698.27</v>
      </c>
      <c r="J70" s="99">
        <v>2821.79</v>
      </c>
      <c r="K70" s="101">
        <v>2741.02</v>
      </c>
      <c r="L70" s="105">
        <v>2819.08</v>
      </c>
      <c r="M70" s="107">
        <v>1915.16</v>
      </c>
      <c r="N70" s="112">
        <v>1648.29</v>
      </c>
      <c r="O70" s="133">
        <v>2384.08</v>
      </c>
      <c r="P70" s="31">
        <v>2193.67</v>
      </c>
      <c r="Q70" s="141">
        <v>2711.03</v>
      </c>
      <c r="R70" s="8">
        <f t="shared" ref="R70:R79" si="8">+SUM(F70:Q70)</f>
        <v>31976.219999999994</v>
      </c>
      <c r="S70" s="1">
        <f t="shared" si="6"/>
        <v>12</v>
      </c>
      <c r="T70" s="31">
        <f t="shared" si="7"/>
        <v>2664.6849999999995</v>
      </c>
    </row>
    <row r="71" spans="2:20">
      <c r="B71" s="1" t="s">
        <v>549</v>
      </c>
      <c r="C71" s="4">
        <v>70052</v>
      </c>
      <c r="D71" s="4"/>
      <c r="E71" s="1" t="s">
        <v>284</v>
      </c>
      <c r="F71" s="55">
        <v>4588.01</v>
      </c>
      <c r="G71" s="87">
        <v>3472.28</v>
      </c>
      <c r="H71" s="93">
        <v>4387.46</v>
      </c>
      <c r="I71" s="96">
        <f>1207.12+3154.58</f>
        <v>4361.7</v>
      </c>
      <c r="J71" s="99">
        <v>2854.3</v>
      </c>
      <c r="K71" s="101">
        <v>2357.83</v>
      </c>
      <c r="L71" s="105">
        <v>2684.8</v>
      </c>
      <c r="M71" s="107">
        <v>2263.92</v>
      </c>
      <c r="N71" s="112">
        <v>2609.69</v>
      </c>
      <c r="O71" s="133">
        <v>3799.79</v>
      </c>
      <c r="P71" s="31">
        <v>3581.17</v>
      </c>
      <c r="Q71" s="141">
        <v>4272.01</v>
      </c>
      <c r="R71" s="8">
        <f t="shared" si="8"/>
        <v>41232.959999999999</v>
      </c>
      <c r="S71" s="1">
        <f t="shared" si="6"/>
        <v>12</v>
      </c>
      <c r="T71" s="31">
        <f t="shared" si="7"/>
        <v>3436.08</v>
      </c>
    </row>
    <row r="72" spans="2:20">
      <c r="B72" s="1" t="s">
        <v>530</v>
      </c>
      <c r="C72" s="4">
        <v>13032900</v>
      </c>
      <c r="D72" s="4"/>
      <c r="E72" s="1" t="s">
        <v>368</v>
      </c>
      <c r="F72" s="114"/>
      <c r="G72" s="116"/>
      <c r="H72" s="119"/>
      <c r="I72" s="120"/>
      <c r="J72" s="123"/>
      <c r="K72" s="124"/>
      <c r="L72" s="127"/>
      <c r="M72" s="128"/>
      <c r="N72" s="112">
        <v>99.9</v>
      </c>
      <c r="O72" s="133">
        <v>106.8</v>
      </c>
      <c r="P72" s="31">
        <v>195</v>
      </c>
      <c r="Q72" s="141">
        <v>0</v>
      </c>
      <c r="R72" s="8">
        <f t="shared" si="8"/>
        <v>401.7</v>
      </c>
      <c r="T72" s="31"/>
    </row>
    <row r="73" spans="2:20">
      <c r="B73" s="1" t="s">
        <v>547</v>
      </c>
      <c r="C73" s="4">
        <v>70049</v>
      </c>
      <c r="D73" s="4">
        <v>120</v>
      </c>
      <c r="E73" s="1" t="s">
        <v>369</v>
      </c>
      <c r="F73" s="114"/>
      <c r="G73" s="116"/>
      <c r="H73" s="93">
        <v>603</v>
      </c>
      <c r="I73" s="120"/>
      <c r="J73" s="123"/>
      <c r="K73" s="101">
        <v>754.2</v>
      </c>
      <c r="L73" s="127"/>
      <c r="M73" s="107">
        <v>95.58</v>
      </c>
      <c r="N73" s="112">
        <v>612</v>
      </c>
      <c r="O73" s="134"/>
      <c r="P73" s="136"/>
      <c r="Q73" s="141">
        <v>650.4</v>
      </c>
      <c r="R73" s="8">
        <f t="shared" si="8"/>
        <v>2715.18</v>
      </c>
      <c r="S73" s="1">
        <f t="shared" si="6"/>
        <v>5</v>
      </c>
      <c r="T73" s="31">
        <f t="shared" si="7"/>
        <v>543.03599999999994</v>
      </c>
    </row>
    <row r="74" spans="2:20">
      <c r="B74" s="1" t="s">
        <v>539</v>
      </c>
      <c r="C74" s="4">
        <v>70071</v>
      </c>
      <c r="D74" s="4">
        <v>180</v>
      </c>
      <c r="E74" s="1" t="s">
        <v>286</v>
      </c>
      <c r="F74" s="55">
        <v>418.57</v>
      </c>
      <c r="G74" s="87">
        <v>451.74</v>
      </c>
      <c r="H74" s="93">
        <v>1274.9100000000001</v>
      </c>
      <c r="I74" s="96">
        <v>2177.52</v>
      </c>
      <c r="J74" s="99">
        <v>327.48</v>
      </c>
      <c r="K74" s="101">
        <v>63.96</v>
      </c>
      <c r="L74" s="105">
        <v>104.1</v>
      </c>
      <c r="M74" s="128"/>
      <c r="N74" s="112">
        <v>202.74</v>
      </c>
      <c r="O74" s="133">
        <v>908.88</v>
      </c>
      <c r="P74" s="31">
        <v>680.52</v>
      </c>
      <c r="Q74" s="141">
        <v>493.26</v>
      </c>
      <c r="R74" s="8">
        <f t="shared" si="8"/>
        <v>7103.68</v>
      </c>
      <c r="S74" s="1">
        <f t="shared" si="6"/>
        <v>11</v>
      </c>
      <c r="T74" s="31">
        <f t="shared" si="7"/>
        <v>645.78909090909099</v>
      </c>
    </row>
    <row r="75" spans="2:20">
      <c r="C75" s="4">
        <v>15019612</v>
      </c>
      <c r="D75" s="4"/>
      <c r="E75" s="1" t="s">
        <v>365</v>
      </c>
      <c r="F75" s="55"/>
      <c r="G75" s="87">
        <v>42</v>
      </c>
      <c r="H75" s="93">
        <v>36.5</v>
      </c>
      <c r="I75" s="96">
        <v>184.5</v>
      </c>
      <c r="J75" s="99">
        <v>19.8</v>
      </c>
      <c r="K75" s="124"/>
      <c r="L75" s="105">
        <v>21.6</v>
      </c>
      <c r="M75" s="107">
        <v>37.799999999999997</v>
      </c>
      <c r="N75" s="112">
        <v>64.8</v>
      </c>
      <c r="O75" s="133">
        <v>105</v>
      </c>
      <c r="P75" s="31">
        <v>169.2</v>
      </c>
      <c r="Q75" s="141">
        <f>137.4+219.38</f>
        <v>356.78</v>
      </c>
      <c r="R75" s="8">
        <f t="shared" si="8"/>
        <v>1037.98</v>
      </c>
      <c r="T75" s="31"/>
    </row>
    <row r="76" spans="2:20">
      <c r="B76" s="1" t="s">
        <v>531</v>
      </c>
      <c r="C76" s="4">
        <v>70098</v>
      </c>
      <c r="D76" s="4"/>
      <c r="E76" s="1" t="s">
        <v>113</v>
      </c>
      <c r="F76" s="55">
        <v>445.96</v>
      </c>
      <c r="G76" s="87">
        <v>343.36</v>
      </c>
      <c r="H76" s="93">
        <v>520.04999999999995</v>
      </c>
      <c r="I76" s="96">
        <v>298.39</v>
      </c>
      <c r="J76" s="99">
        <v>184.94</v>
      </c>
      <c r="K76" s="124"/>
      <c r="L76" s="105">
        <v>166.38</v>
      </c>
      <c r="M76" s="107">
        <v>108.48</v>
      </c>
      <c r="N76" s="112">
        <v>210.68</v>
      </c>
      <c r="O76" s="133">
        <v>232.28</v>
      </c>
      <c r="P76" s="136"/>
      <c r="Q76" s="141">
        <v>437.64</v>
      </c>
      <c r="R76" s="8">
        <f t="shared" si="8"/>
        <v>2948.16</v>
      </c>
      <c r="S76" s="1">
        <f t="shared" si="6"/>
        <v>10</v>
      </c>
      <c r="T76" s="31">
        <f t="shared" si="7"/>
        <v>294.81599999999997</v>
      </c>
    </row>
    <row r="77" spans="2:20">
      <c r="C77" s="4">
        <v>70001</v>
      </c>
      <c r="D77" s="4">
        <v>125</v>
      </c>
      <c r="E77" s="1" t="s">
        <v>287</v>
      </c>
      <c r="F77" s="55">
        <v>25864.36</v>
      </c>
      <c r="G77" s="87">
        <v>18092.55</v>
      </c>
      <c r="H77" s="93">
        <v>57908.160000000003</v>
      </c>
      <c r="I77" s="96">
        <v>57688.62</v>
      </c>
      <c r="J77" s="99">
        <f>6415.11+20778.69</f>
        <v>27193.8</v>
      </c>
      <c r="K77" s="101">
        <v>12011.89</v>
      </c>
      <c r="L77" s="105">
        <v>10327.06</v>
      </c>
      <c r="M77" s="31">
        <v>15751.35</v>
      </c>
      <c r="N77" s="112">
        <v>19327.150000000001</v>
      </c>
      <c r="O77" s="133">
        <v>19755.78</v>
      </c>
      <c r="P77" s="31">
        <v>33957.839999999997</v>
      </c>
      <c r="Q77" s="141">
        <v>15021.48</v>
      </c>
      <c r="R77" s="8">
        <f t="shared" si="8"/>
        <v>312900.03999999992</v>
      </c>
      <c r="S77" s="1">
        <f t="shared" si="6"/>
        <v>12</v>
      </c>
      <c r="T77" s="31">
        <f t="shared" si="7"/>
        <v>26075.003333333327</v>
      </c>
    </row>
    <row r="78" spans="2:20">
      <c r="B78" s="1" t="s">
        <v>550</v>
      </c>
      <c r="C78" s="42">
        <v>7007701</v>
      </c>
      <c r="D78" s="42">
        <v>122</v>
      </c>
      <c r="E78" s="11" t="s">
        <v>98</v>
      </c>
      <c r="F78" s="55">
        <v>8265.24</v>
      </c>
      <c r="G78" s="87">
        <v>6544.95</v>
      </c>
      <c r="H78" s="93">
        <v>10366.93</v>
      </c>
      <c r="I78" s="96">
        <v>14864.72</v>
      </c>
      <c r="J78" s="99">
        <v>6533.05</v>
      </c>
      <c r="K78" s="101">
        <v>3849.78</v>
      </c>
      <c r="L78" s="105">
        <v>5012.7</v>
      </c>
      <c r="M78" s="107">
        <v>5170.74</v>
      </c>
      <c r="N78" s="112">
        <v>7079.79</v>
      </c>
      <c r="O78" s="133">
        <v>8777.59</v>
      </c>
      <c r="P78" s="31">
        <v>7892.79</v>
      </c>
      <c r="Q78" s="141">
        <v>6540.06</v>
      </c>
      <c r="R78" s="8">
        <f t="shared" si="8"/>
        <v>90898.339999999982</v>
      </c>
      <c r="S78" s="1">
        <f t="shared" si="6"/>
        <v>12</v>
      </c>
      <c r="T78" s="31">
        <f t="shared" si="7"/>
        <v>7574.8616666666649</v>
      </c>
    </row>
    <row r="79" spans="2:20">
      <c r="B79" s="22"/>
      <c r="C79" s="51">
        <v>70094</v>
      </c>
      <c r="D79" s="51"/>
      <c r="E79" s="52" t="s">
        <v>95</v>
      </c>
      <c r="F79" s="91">
        <v>92.58</v>
      </c>
      <c r="G79" s="90">
        <v>617.22</v>
      </c>
      <c r="H79" s="94">
        <v>376.8</v>
      </c>
      <c r="I79" s="97">
        <v>638.29999999999995</v>
      </c>
      <c r="J79" s="100">
        <v>27.6</v>
      </c>
      <c r="K79" s="103">
        <v>462.12</v>
      </c>
      <c r="L79" s="106">
        <v>66.3</v>
      </c>
      <c r="M79" s="108">
        <v>419.52</v>
      </c>
      <c r="N79" s="113">
        <v>111.18</v>
      </c>
      <c r="O79" s="135">
        <v>50.1</v>
      </c>
      <c r="P79" s="34">
        <v>245.94</v>
      </c>
      <c r="Q79" s="146">
        <v>370.14</v>
      </c>
      <c r="R79" s="33">
        <f t="shared" si="8"/>
        <v>3477.7999999999997</v>
      </c>
      <c r="S79" s="22">
        <f t="shared" si="6"/>
        <v>12</v>
      </c>
      <c r="T79" s="34">
        <f t="shared" si="7"/>
        <v>289.81666666666666</v>
      </c>
    </row>
    <row r="80" spans="2:20">
      <c r="F80" s="31"/>
      <c r="G80" s="31"/>
      <c r="H80" s="31"/>
      <c r="I80" s="31"/>
      <c r="J80" s="31"/>
      <c r="K80" s="31"/>
      <c r="L80" s="31"/>
    </row>
    <row r="81" spans="5:20">
      <c r="E81" s="1" t="s">
        <v>140</v>
      </c>
      <c r="F81" s="31">
        <f>+SUM(F2:F79)</f>
        <v>770772.9</v>
      </c>
      <c r="G81" s="31">
        <f t="shared" ref="G81:L81" si="9">+SUM(G2:G79)</f>
        <v>670581.77</v>
      </c>
      <c r="H81" s="31">
        <f>+SUM(H2:H79)</f>
        <v>1068323.49</v>
      </c>
      <c r="I81" s="31">
        <f>+SUM(I2:I79)</f>
        <v>1428270.46</v>
      </c>
      <c r="J81" s="31">
        <f t="shared" si="9"/>
        <v>601636.77999999991</v>
      </c>
      <c r="K81" s="31">
        <f t="shared" si="9"/>
        <v>435913.23000000021</v>
      </c>
      <c r="L81" s="31">
        <f t="shared" si="9"/>
        <v>390771.55999999994</v>
      </c>
      <c r="M81" s="31">
        <f>+SUM(M2:M79)</f>
        <v>452968.63999999996</v>
      </c>
      <c r="N81" s="31">
        <f>SUM(N2:N79)</f>
        <v>609587.23000000021</v>
      </c>
      <c r="O81" s="31">
        <f>+SUM(O2:O79)</f>
        <v>722497.59000000008</v>
      </c>
      <c r="P81" s="31">
        <f>+SUM(P2:P79)</f>
        <v>792086.93000000017</v>
      </c>
      <c r="Q81" s="31">
        <f>SUM(Q2:Q79)</f>
        <v>627358.51000000024</v>
      </c>
      <c r="R81" s="31">
        <f>SUM(R3:R79)</f>
        <v>8569820.1899999995</v>
      </c>
      <c r="T81" s="31">
        <f>+R81/10</f>
        <v>856982.01899999997</v>
      </c>
    </row>
    <row r="82" spans="5:20" hidden="1">
      <c r="E82" s="1" t="s">
        <v>348</v>
      </c>
      <c r="F82" s="68">
        <f>-F7</f>
        <v>-1022.88</v>
      </c>
      <c r="G82" s="68"/>
      <c r="H82" s="68">
        <f>+H53*-1</f>
        <v>-7751.16</v>
      </c>
      <c r="I82" s="68">
        <f>-I7</f>
        <v>-1038.5999999999999</v>
      </c>
      <c r="J82" s="68">
        <f>(+J60+J31)*-1-J23</f>
        <v>-29596.45</v>
      </c>
      <c r="K82" s="68">
        <f>-K31-K23</f>
        <v>-13356.5</v>
      </c>
      <c r="L82" s="68">
        <f>+(L53+L32+L31+L25+L19)*-1-L23</f>
        <v>-46627.72</v>
      </c>
      <c r="M82" s="68">
        <f>-M23-M31-M32-M60-M65-M74-M77-M68-M20-M17-M8-M7</f>
        <v>-60498.599999999991</v>
      </c>
      <c r="N82" s="31">
        <f>-N23-N31-N32-N43-N65</f>
        <v>-40819.29</v>
      </c>
      <c r="O82" s="31">
        <f>-O31-O32-O43-O57-O73</f>
        <v>-30225.54</v>
      </c>
      <c r="P82" s="31">
        <f>-P31-P32-P43-P73-P76</f>
        <v>-37117.86</v>
      </c>
      <c r="Q82" s="8">
        <f>-Q23-Q31-Q32-Q43-Q72-P43-O43</f>
        <v>-49872.259999999995</v>
      </c>
      <c r="R82" s="31">
        <f t="shared" ref="R82:R88" si="10">+SUM(F82:Q82)</f>
        <v>-317926.86</v>
      </c>
    </row>
    <row r="83" spans="5:20" hidden="1">
      <c r="E83" s="1" t="s">
        <v>349</v>
      </c>
      <c r="F83" s="68"/>
      <c r="G83" s="68"/>
      <c r="H83" s="68">
        <f>+F7</f>
        <v>1022.88</v>
      </c>
      <c r="I83" s="68">
        <f>+H53</f>
        <v>7751.16</v>
      </c>
      <c r="J83" s="68">
        <f>+I7</f>
        <v>1038.5999999999999</v>
      </c>
      <c r="K83" s="68">
        <f>+J31+J60</f>
        <v>20775.43</v>
      </c>
      <c r="L83" s="68">
        <f>+K31</f>
        <v>7937.82</v>
      </c>
      <c r="M83" s="68">
        <f>+L19+L25+L31+L32+L53</f>
        <v>41180.400000000001</v>
      </c>
      <c r="N83" s="8">
        <f>+M31+M32</f>
        <v>18699.629999999997</v>
      </c>
      <c r="O83" s="8">
        <f>+N31+N32+N43+M60+M65+N65</f>
        <v>29832.26</v>
      </c>
      <c r="P83" s="8">
        <f>+M7+M8+M17+M20+O31+O32+M68+M77</f>
        <v>62532.779999999992</v>
      </c>
      <c r="Q83" s="8">
        <f>+P31+P32+P65</f>
        <v>38149.53</v>
      </c>
      <c r="R83" s="31">
        <f t="shared" si="10"/>
        <v>228920.49</v>
      </c>
    </row>
    <row r="84" spans="5:20" hidden="1">
      <c r="E84" s="1" t="s">
        <v>301</v>
      </c>
      <c r="F84" s="69">
        <f>+SUM(F81:F83)</f>
        <v>769750.02</v>
      </c>
      <c r="G84" s="69">
        <f>+SUM(G81:G83)</f>
        <v>670581.77</v>
      </c>
      <c r="H84" s="69">
        <f>+SUM(H81:H83)</f>
        <v>1061595.21</v>
      </c>
      <c r="I84" s="69">
        <f t="shared" ref="I84:Q84" si="11">+SUM(I81:I83)</f>
        <v>1434983.0199999998</v>
      </c>
      <c r="J84" s="69">
        <f t="shared" si="11"/>
        <v>573078.92999999993</v>
      </c>
      <c r="K84" s="69">
        <f t="shared" si="11"/>
        <v>443332.16000000021</v>
      </c>
      <c r="L84" s="69">
        <f t="shared" si="11"/>
        <v>352081.66</v>
      </c>
      <c r="M84" s="69">
        <f>+SUM(M81:M83)</f>
        <v>433650.44</v>
      </c>
      <c r="N84" s="69">
        <f t="shared" si="11"/>
        <v>587467.57000000018</v>
      </c>
      <c r="O84" s="69">
        <f t="shared" si="11"/>
        <v>722104.31</v>
      </c>
      <c r="P84" s="69">
        <f t="shared" si="11"/>
        <v>817501.85000000021</v>
      </c>
      <c r="Q84" s="69">
        <f t="shared" si="11"/>
        <v>615635.78000000026</v>
      </c>
      <c r="R84" s="34">
        <f t="shared" si="10"/>
        <v>8481762.7200000007</v>
      </c>
    </row>
    <row r="85" spans="5:20" hidden="1">
      <c r="E85" s="67" t="s">
        <v>304</v>
      </c>
      <c r="F85" s="68">
        <f t="shared" ref="F85:Q85" si="12">+F84/6*4</f>
        <v>513166.68</v>
      </c>
      <c r="G85" s="68">
        <f t="shared" si="12"/>
        <v>447054.51333333337</v>
      </c>
      <c r="H85" s="68">
        <f t="shared" si="12"/>
        <v>707730.14</v>
      </c>
      <c r="I85" s="68">
        <f>+I84/6*4</f>
        <v>956655.34666666656</v>
      </c>
      <c r="J85" s="68">
        <f t="shared" si="12"/>
        <v>382052.61999999994</v>
      </c>
      <c r="K85" s="68">
        <f t="shared" si="12"/>
        <v>295554.77333333349</v>
      </c>
      <c r="L85" s="68">
        <f t="shared" si="12"/>
        <v>234721.10666666666</v>
      </c>
      <c r="M85" s="68">
        <f t="shared" si="12"/>
        <v>289100.29333333333</v>
      </c>
      <c r="N85" s="68">
        <f t="shared" si="12"/>
        <v>391645.04666666681</v>
      </c>
      <c r="O85" s="68">
        <f t="shared" si="12"/>
        <v>481402.87333333335</v>
      </c>
      <c r="P85" s="68">
        <f t="shared" si="12"/>
        <v>545001.23333333351</v>
      </c>
      <c r="Q85" s="68">
        <f t="shared" si="12"/>
        <v>410423.85333333351</v>
      </c>
      <c r="R85" s="31">
        <f t="shared" si="10"/>
        <v>5654508.4800000004</v>
      </c>
    </row>
    <row r="86" spans="5:20" hidden="1">
      <c r="E86" s="67" t="s">
        <v>305</v>
      </c>
      <c r="F86" s="68">
        <f t="shared" ref="F86:Q86" si="13">+F84/6*2</f>
        <v>256583.34</v>
      </c>
      <c r="G86" s="68">
        <f t="shared" si="13"/>
        <v>223527.25666666668</v>
      </c>
      <c r="H86" s="68">
        <f t="shared" si="13"/>
        <v>353865.07</v>
      </c>
      <c r="I86" s="68">
        <f>+I84/6*2</f>
        <v>478327.67333333328</v>
      </c>
      <c r="J86" s="68">
        <f t="shared" si="13"/>
        <v>191026.30999999997</v>
      </c>
      <c r="K86" s="68">
        <f t="shared" si="13"/>
        <v>147777.38666666675</v>
      </c>
      <c r="L86" s="68">
        <f t="shared" si="13"/>
        <v>117360.55333333333</v>
      </c>
      <c r="M86" s="68">
        <f t="shared" si="13"/>
        <v>144550.14666666667</v>
      </c>
      <c r="N86" s="68">
        <f t="shared" si="13"/>
        <v>195822.5233333334</v>
      </c>
      <c r="O86" s="68">
        <f t="shared" si="13"/>
        <v>240701.43666666668</v>
      </c>
      <c r="P86" s="68">
        <f t="shared" si="13"/>
        <v>272500.61666666676</v>
      </c>
      <c r="Q86" s="68">
        <f t="shared" si="13"/>
        <v>205211.92666666675</v>
      </c>
      <c r="R86" s="31">
        <f t="shared" si="10"/>
        <v>2827254.24</v>
      </c>
    </row>
    <row r="87" spans="5:20" hidden="1">
      <c r="E87" s="1" t="s">
        <v>302</v>
      </c>
      <c r="F87" s="68">
        <f t="shared" ref="F87:Q87" si="14">+F86*0.01</f>
        <v>2565.8334</v>
      </c>
      <c r="G87" s="68">
        <f t="shared" si="14"/>
        <v>2235.272566666667</v>
      </c>
      <c r="H87" s="68">
        <f t="shared" si="14"/>
        <v>3538.6507000000001</v>
      </c>
      <c r="I87" s="68">
        <f>+I86*0.01</f>
        <v>4783.2767333333331</v>
      </c>
      <c r="J87" s="68">
        <f t="shared" si="14"/>
        <v>1910.2630999999997</v>
      </c>
      <c r="K87" s="68">
        <f t="shared" si="14"/>
        <v>1477.7738666666676</v>
      </c>
      <c r="L87" s="68">
        <f t="shared" si="14"/>
        <v>1173.6055333333334</v>
      </c>
      <c r="M87" s="68">
        <f t="shared" si="14"/>
        <v>1445.5014666666666</v>
      </c>
      <c r="N87" s="68">
        <f t="shared" si="14"/>
        <v>1958.225233333334</v>
      </c>
      <c r="O87" s="68">
        <f t="shared" si="14"/>
        <v>2407.0143666666668</v>
      </c>
      <c r="P87" s="68">
        <f t="shared" si="14"/>
        <v>2725.0061666666675</v>
      </c>
      <c r="Q87" s="68">
        <f t="shared" si="14"/>
        <v>2052.1192666666675</v>
      </c>
      <c r="R87" s="31">
        <f t="shared" si="10"/>
        <v>28272.542400000006</v>
      </c>
    </row>
    <row r="88" spans="5:20" hidden="1">
      <c r="E88" s="1" t="s">
        <v>303</v>
      </c>
      <c r="F88" s="71">
        <f t="shared" ref="F88:Q88" si="15">+F85-F87</f>
        <v>510600.84659999999</v>
      </c>
      <c r="G88" s="71">
        <f t="shared" si="15"/>
        <v>444819.24076666671</v>
      </c>
      <c r="H88" s="71">
        <f t="shared" si="15"/>
        <v>704191.48930000002</v>
      </c>
      <c r="I88" s="71">
        <f>+I85-I87</f>
        <v>951872.0699333332</v>
      </c>
      <c r="J88" s="71">
        <f t="shared" si="15"/>
        <v>380142.35689999996</v>
      </c>
      <c r="K88" s="71">
        <f t="shared" si="15"/>
        <v>294076.99946666684</v>
      </c>
      <c r="L88" s="71">
        <f t="shared" si="15"/>
        <v>233547.50113333334</v>
      </c>
      <c r="M88" s="71">
        <f t="shared" si="15"/>
        <v>287654.7918666667</v>
      </c>
      <c r="N88" s="71">
        <f t="shared" si="15"/>
        <v>389686.82143333345</v>
      </c>
      <c r="O88" s="71">
        <f t="shared" si="15"/>
        <v>478995.85896666668</v>
      </c>
      <c r="P88" s="71">
        <f t="shared" si="15"/>
        <v>542276.22716666688</v>
      </c>
      <c r="Q88" s="71">
        <f t="shared" si="15"/>
        <v>408371.73406666686</v>
      </c>
      <c r="R88" s="34">
        <f t="shared" si="10"/>
        <v>5626235.9375999998</v>
      </c>
    </row>
    <row r="89" spans="5:20" hidden="1">
      <c r="R89" s="31"/>
    </row>
    <row r="90" spans="5:20" hidden="1">
      <c r="F90" s="70">
        <f>+SUM(F86:F88)</f>
        <v>769750.02</v>
      </c>
      <c r="G90" s="70">
        <f>+SUM(G86:G88)</f>
        <v>670581.77</v>
      </c>
      <c r="H90" s="70">
        <f>+SUM(H86:H88)</f>
        <v>1061595.21</v>
      </c>
      <c r="I90" s="8">
        <f t="shared" ref="I90:Q90" si="16">+I81+H43+H49+H55</f>
        <v>1447112.73</v>
      </c>
      <c r="J90" s="8">
        <f>+J81</f>
        <v>601636.77999999991</v>
      </c>
      <c r="K90" s="8">
        <f t="shared" si="16"/>
        <v>443426.63000000018</v>
      </c>
      <c r="L90" s="8">
        <f t="shared" si="16"/>
        <v>396926.95999999996</v>
      </c>
      <c r="M90" s="8">
        <f t="shared" si="16"/>
        <v>458335.83999999997</v>
      </c>
      <c r="N90" s="8">
        <f t="shared" si="16"/>
        <v>616297.81000000017</v>
      </c>
      <c r="O90" s="8">
        <f t="shared" si="16"/>
        <v>731345.04000000015</v>
      </c>
      <c r="P90" s="8">
        <f t="shared" si="16"/>
        <v>805191.13000000012</v>
      </c>
      <c r="Q90" s="8">
        <f t="shared" si="16"/>
        <v>638735.45000000019</v>
      </c>
      <c r="R90" s="31">
        <f>SUM(R12:R88)</f>
        <v>39206292.030000001</v>
      </c>
    </row>
    <row r="91" spans="5:20" hidden="1">
      <c r="I91" s="70"/>
      <c r="J91" s="70"/>
      <c r="M91" s="70"/>
    </row>
    <row r="92" spans="5:20" hidden="1">
      <c r="E92" s="70"/>
      <c r="F92" s="70"/>
      <c r="G92" s="70"/>
      <c r="H92" s="70"/>
      <c r="I92" s="8"/>
      <c r="J92" s="70"/>
      <c r="K92" s="1" t="s">
        <v>387</v>
      </c>
      <c r="L92" s="69">
        <v>40084.83</v>
      </c>
      <c r="M92" s="70"/>
      <c r="N92" s="70"/>
      <c r="P92" s="70"/>
    </row>
    <row r="93" spans="5:20" hidden="1">
      <c r="L93" s="68">
        <f>+L92/6*4</f>
        <v>26723.22</v>
      </c>
    </row>
    <row r="94" spans="5:20" hidden="1">
      <c r="L94" s="68">
        <f>+L92/6*2</f>
        <v>13361.61</v>
      </c>
    </row>
    <row r="95" spans="5:20" hidden="1">
      <c r="L95" s="68">
        <f>+L94*0.01</f>
        <v>133.61610000000002</v>
      </c>
    </row>
    <row r="96" spans="5:20" hidden="1">
      <c r="L96" s="71">
        <f>+L93-L95</f>
        <v>26589.603900000002</v>
      </c>
    </row>
    <row r="97" spans="3:18">
      <c r="R97" s="8"/>
    </row>
    <row r="98" spans="3:18" s="158" customFormat="1">
      <c r="C98" s="137" t="s">
        <v>390</v>
      </c>
      <c r="F98" s="137">
        <v>14008824</v>
      </c>
      <c r="G98" s="137">
        <v>12099822</v>
      </c>
      <c r="H98" s="137">
        <v>19788326</v>
      </c>
      <c r="I98" s="137">
        <v>25019600</v>
      </c>
      <c r="J98" s="137">
        <v>10121251</v>
      </c>
      <c r="K98" s="137">
        <v>7028377</v>
      </c>
      <c r="L98" s="137">
        <v>7133762</v>
      </c>
      <c r="M98" s="137">
        <v>8052391</v>
      </c>
      <c r="N98" s="137">
        <v>11029937</v>
      </c>
      <c r="O98" s="137">
        <v>13461984</v>
      </c>
      <c r="P98" s="137">
        <v>14049641</v>
      </c>
      <c r="Q98" s="137">
        <v>11796700</v>
      </c>
      <c r="R98" s="158">
        <f>+SUM(F98:Q98)</f>
        <v>153590615</v>
      </c>
    </row>
    <row r="99" spans="3:18" s="158" customFormat="1">
      <c r="C99" s="158" t="s">
        <v>389</v>
      </c>
      <c r="F99" s="137">
        <f t="shared" ref="F99:K99" si="17">+F98*0.06</f>
        <v>840529.44</v>
      </c>
      <c r="G99" s="137">
        <f t="shared" si="17"/>
        <v>725989.32</v>
      </c>
      <c r="H99" s="137">
        <f t="shared" si="17"/>
        <v>1187299.56</v>
      </c>
      <c r="I99" s="137">
        <f t="shared" si="17"/>
        <v>1501176</v>
      </c>
      <c r="J99" s="137">
        <f t="shared" si="17"/>
        <v>607275.05999999994</v>
      </c>
      <c r="K99" s="137">
        <f t="shared" si="17"/>
        <v>421702.62</v>
      </c>
      <c r="L99" s="137">
        <f t="shared" ref="L99:Q99" si="18">+L98*0.06</f>
        <v>428025.72</v>
      </c>
      <c r="M99" s="137">
        <f t="shared" si="18"/>
        <v>483143.45999999996</v>
      </c>
      <c r="N99" s="137">
        <f t="shared" si="18"/>
        <v>661796.22</v>
      </c>
      <c r="O99" s="137">
        <f t="shared" si="18"/>
        <v>807719.03999999992</v>
      </c>
      <c r="P99" s="137">
        <f t="shared" si="18"/>
        <v>842978.46</v>
      </c>
      <c r="Q99" s="137">
        <f t="shared" si="18"/>
        <v>707802</v>
      </c>
      <c r="R99" s="158">
        <f>+SUM(F99:Q99)</f>
        <v>9215436.8999999985</v>
      </c>
    </row>
    <row r="100" spans="3:18" s="158" customFormat="1">
      <c r="C100" s="159" t="s">
        <v>391</v>
      </c>
      <c r="D100" s="159"/>
      <c r="E100" s="159"/>
      <c r="F100" s="159">
        <f t="shared" ref="F100:K100" si="19">+F81-F99</f>
        <v>-69756.539999999921</v>
      </c>
      <c r="G100" s="159">
        <f t="shared" si="19"/>
        <v>-55407.54999999993</v>
      </c>
      <c r="H100" s="159">
        <f t="shared" si="19"/>
        <v>-118976.07000000007</v>
      </c>
      <c r="I100" s="159">
        <f t="shared" si="19"/>
        <v>-72905.540000000037</v>
      </c>
      <c r="J100" s="159">
        <f t="shared" si="19"/>
        <v>-5638.2800000000279</v>
      </c>
      <c r="K100" s="159">
        <f t="shared" si="19"/>
        <v>14210.610000000219</v>
      </c>
      <c r="L100" s="159">
        <f t="shared" ref="L100:Q100" si="20">+L81-L99</f>
        <v>-37254.160000000033</v>
      </c>
      <c r="M100" s="159">
        <f t="shared" si="20"/>
        <v>-30174.820000000007</v>
      </c>
      <c r="N100" s="159">
        <f t="shared" si="20"/>
        <v>-52208.989999999758</v>
      </c>
      <c r="O100" s="159">
        <f t="shared" si="20"/>
        <v>-85221.449999999837</v>
      </c>
      <c r="P100" s="159">
        <f t="shared" si="20"/>
        <v>-50891.529999999795</v>
      </c>
      <c r="Q100" s="159">
        <f t="shared" si="20"/>
        <v>-80443.489999999758</v>
      </c>
      <c r="R100" s="159">
        <f>+SUM(F100:Q100)</f>
        <v>-644667.80999999889</v>
      </c>
    </row>
    <row r="101" spans="3:18" s="78" customFormat="1">
      <c r="C101" s="78" t="s">
        <v>392</v>
      </c>
      <c r="F101" s="78">
        <f t="shared" ref="F101:Q101" si="21">+F100/F99</f>
        <v>-8.2991191837373274E-2</v>
      </c>
      <c r="G101" s="78">
        <f t="shared" si="21"/>
        <v>-7.6320062118820059E-2</v>
      </c>
      <c r="H101" s="78">
        <f t="shared" si="21"/>
        <v>-0.10020728888335481</v>
      </c>
      <c r="I101" s="78">
        <f t="shared" si="21"/>
        <v>-4.8565617888908452E-2</v>
      </c>
      <c r="J101" s="78">
        <f t="shared" si="21"/>
        <v>-9.2845571494406982E-3</v>
      </c>
      <c r="K101" s="78">
        <f t="shared" si="21"/>
        <v>3.3698178114236567E-2</v>
      </c>
      <c r="L101" s="78">
        <f t="shared" si="21"/>
        <v>-8.7037199540252005E-2</v>
      </c>
      <c r="M101" s="78">
        <f t="shared" si="21"/>
        <v>-6.2455197054721613E-2</v>
      </c>
      <c r="N101" s="78">
        <f t="shared" si="21"/>
        <v>-7.8889828050090344E-2</v>
      </c>
      <c r="O101" s="78">
        <f t="shared" si="21"/>
        <v>-0.1055087793894271</v>
      </c>
      <c r="P101" s="78">
        <f t="shared" si="21"/>
        <v>-6.0371091807019363E-2</v>
      </c>
      <c r="Q101" s="78">
        <f t="shared" si="21"/>
        <v>-0.11365253277046372</v>
      </c>
      <c r="R101" s="78">
        <f>+R100/R99</f>
        <v>-6.9955208526250021E-2</v>
      </c>
    </row>
  </sheetData>
  <phoneticPr fontId="3" type="noConversion"/>
  <printOptions horizontalCentered="1"/>
  <pageMargins left="0.25" right="0.25" top="0.64" bottom="0.25" header="0.25" footer="0.25"/>
  <pageSetup scale="65" orientation="landscape" r:id="rId1"/>
  <headerFooter alignWithMargins="0">
    <oddHeader>&amp;C&amp;"Arial,Bold"&amp;11Occupancy&amp;22 &amp;11Tax Receipts
Fiscal Year 2011</oddHead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U96"/>
  <sheetViews>
    <sheetView zoomScale="125" workbookViewId="0">
      <pane xSplit="5" ySplit="1" topLeftCell="F62" activePane="bottomRight" state="frozen"/>
      <selection pane="topRight" activeCell="C1" sqref="C1"/>
      <selection pane="bottomLeft" activeCell="A2" sqref="A2"/>
      <selection pane="bottomRight" activeCell="B83" sqref="B83"/>
    </sheetView>
  </sheetViews>
  <sheetFormatPr defaultColWidth="9.08984375" defaultRowHeight="10"/>
  <cols>
    <col min="1" max="1" width="2.6328125" style="1" bestFit="1" customWidth="1"/>
    <col min="2" max="2" width="9.54296875" style="1" customWidth="1"/>
    <col min="3" max="3" width="7.90625" style="1" bestFit="1" customWidth="1"/>
    <col min="4" max="4" width="7.90625" style="1" hidden="1" customWidth="1"/>
    <col min="5" max="5" width="32.08984375" style="1" bestFit="1" customWidth="1"/>
    <col min="6" max="6" width="12" style="1" bestFit="1" customWidth="1"/>
    <col min="7" max="7" width="24.36328125" style="1" hidden="1" customWidth="1"/>
    <col min="8" max="9" width="12" style="1" bestFit="1" customWidth="1"/>
    <col min="10" max="10" width="13.453125" style="1" bestFit="1" customWidth="1"/>
    <col min="11" max="11" width="12" style="1" customWidth="1"/>
    <col min="12" max="18" width="10.6328125" style="1" customWidth="1"/>
    <col min="19" max="19" width="13.6328125" style="1" customWidth="1"/>
    <col min="20" max="20" width="9.08984375" style="1"/>
    <col min="21" max="21" width="10.6328125" style="1" customWidth="1"/>
    <col min="22" max="16384" width="9.08984375" style="1"/>
  </cols>
  <sheetData>
    <row r="1" spans="1:21" s="17" customFormat="1" ht="21">
      <c r="B1" s="17" t="s">
        <v>523</v>
      </c>
      <c r="C1" s="14" t="s">
        <v>82</v>
      </c>
      <c r="D1" s="20" t="s">
        <v>370</v>
      </c>
      <c r="E1" s="15" t="s">
        <v>0</v>
      </c>
      <c r="F1" s="89" t="s">
        <v>371</v>
      </c>
      <c r="G1" s="17" t="s">
        <v>394</v>
      </c>
      <c r="H1" s="88" t="s">
        <v>372</v>
      </c>
      <c r="I1" s="92" t="s">
        <v>373</v>
      </c>
      <c r="J1" s="98" t="s">
        <v>374</v>
      </c>
      <c r="K1" s="95" t="s">
        <v>375</v>
      </c>
      <c r="L1" s="102" t="s">
        <v>376</v>
      </c>
      <c r="M1" s="104" t="s">
        <v>377</v>
      </c>
      <c r="N1" s="109" t="s">
        <v>378</v>
      </c>
      <c r="O1" s="110" t="s">
        <v>379</v>
      </c>
      <c r="P1" s="131" t="s">
        <v>380</v>
      </c>
      <c r="Q1" s="62" t="s">
        <v>381</v>
      </c>
      <c r="R1" s="147" t="s">
        <v>382</v>
      </c>
      <c r="S1" s="64" t="s">
        <v>143</v>
      </c>
      <c r="T1" s="64"/>
      <c r="U1" s="64" t="s">
        <v>142</v>
      </c>
    </row>
    <row r="2" spans="1:21" s="17" customFormat="1" ht="10.5">
      <c r="A2" s="1">
        <v>1</v>
      </c>
      <c r="B2" s="1" t="s">
        <v>531</v>
      </c>
      <c r="C2" s="4">
        <v>15002216</v>
      </c>
      <c r="D2" s="4"/>
      <c r="E2" s="1" t="s">
        <v>329</v>
      </c>
      <c r="F2" s="114"/>
      <c r="G2" s="32" t="s">
        <v>395</v>
      </c>
      <c r="H2" s="117"/>
      <c r="I2" s="118"/>
      <c r="J2" s="152">
        <v>21.4</v>
      </c>
      <c r="K2" s="154">
        <v>19.079999999999998</v>
      </c>
      <c r="L2" s="125"/>
      <c r="M2" s="126"/>
      <c r="N2" s="128"/>
      <c r="O2" s="140"/>
      <c r="P2" s="166"/>
      <c r="Q2" s="136"/>
      <c r="R2" s="172">
        <v>38.159999999999997</v>
      </c>
      <c r="S2" s="8">
        <f t="shared" ref="S2:S36" si="0">+SUM(F2:R2)</f>
        <v>78.639999999999986</v>
      </c>
      <c r="T2" s="86"/>
      <c r="U2" s="31">
        <f>+S2/1</f>
        <v>78.639999999999986</v>
      </c>
    </row>
    <row r="3" spans="1:21">
      <c r="A3" s="1">
        <v>2</v>
      </c>
      <c r="C3" s="4">
        <v>15025626</v>
      </c>
      <c r="D3" s="4">
        <v>88</v>
      </c>
      <c r="E3" s="1" t="s">
        <v>461</v>
      </c>
      <c r="F3" s="55">
        <v>5340</v>
      </c>
      <c r="G3" s="31" t="s">
        <v>402</v>
      </c>
      <c r="H3" s="87">
        <v>3891</v>
      </c>
      <c r="I3" s="93">
        <v>3865</v>
      </c>
      <c r="J3" s="99">
        <v>5006</v>
      </c>
      <c r="K3" s="101">
        <v>3010</v>
      </c>
      <c r="L3" s="105">
        <v>2710</v>
      </c>
      <c r="M3" s="105">
        <v>2180</v>
      </c>
      <c r="N3" s="107">
        <v>3288.24</v>
      </c>
      <c r="O3" s="112">
        <v>4711.8599999999997</v>
      </c>
      <c r="P3" s="133">
        <v>5757.42</v>
      </c>
      <c r="Q3" s="31">
        <v>5569.32</v>
      </c>
      <c r="R3" s="171">
        <v>4123.92</v>
      </c>
      <c r="S3" s="8">
        <f t="shared" si="0"/>
        <v>49452.759999999995</v>
      </c>
      <c r="T3" s="1">
        <f t="shared" ref="T3:T37" si="1">COUNT(F3:R3)</f>
        <v>12</v>
      </c>
      <c r="U3" s="31">
        <f t="shared" ref="U3:U37" si="2">+S3/T3</f>
        <v>4121.0633333333326</v>
      </c>
    </row>
    <row r="4" spans="1:21">
      <c r="A4" s="1">
        <v>3</v>
      </c>
      <c r="C4" s="4">
        <v>15025625</v>
      </c>
      <c r="D4" s="4">
        <v>87</v>
      </c>
      <c r="E4" s="1" t="s">
        <v>462</v>
      </c>
      <c r="F4" s="55">
        <v>8822</v>
      </c>
      <c r="G4" s="31" t="s">
        <v>454</v>
      </c>
      <c r="H4" s="87">
        <v>6107</v>
      </c>
      <c r="I4" s="93">
        <v>5976</v>
      </c>
      <c r="J4" s="99">
        <v>7478</v>
      </c>
      <c r="K4" s="101">
        <v>4532</v>
      </c>
      <c r="L4" s="105">
        <v>3335</v>
      </c>
      <c r="M4" s="105">
        <v>2965</v>
      </c>
      <c r="N4" s="107">
        <v>3891.66</v>
      </c>
      <c r="O4" s="112">
        <v>5597.52</v>
      </c>
      <c r="P4" s="133">
        <v>6966.66</v>
      </c>
      <c r="Q4" s="31">
        <v>4501.5</v>
      </c>
      <c r="R4" s="171">
        <v>2499.54</v>
      </c>
      <c r="S4" s="8">
        <f t="shared" si="0"/>
        <v>62671.880000000012</v>
      </c>
      <c r="T4" s="1">
        <f t="shared" si="1"/>
        <v>12</v>
      </c>
      <c r="U4" s="31">
        <f t="shared" si="2"/>
        <v>5222.6566666666677</v>
      </c>
    </row>
    <row r="5" spans="1:21">
      <c r="A5" s="1">
        <v>4</v>
      </c>
      <c r="B5" s="1" t="s">
        <v>533</v>
      </c>
      <c r="C5" s="4">
        <v>15008670</v>
      </c>
      <c r="D5" s="4">
        <v>117</v>
      </c>
      <c r="E5" s="1" t="s">
        <v>114</v>
      </c>
      <c r="F5" s="55">
        <v>4152.43</v>
      </c>
      <c r="G5" s="31" t="s">
        <v>403</v>
      </c>
      <c r="H5" s="87">
        <v>3874.37</v>
      </c>
      <c r="I5" s="93">
        <v>3636.66</v>
      </c>
      <c r="J5" s="99">
        <v>3773.85</v>
      </c>
      <c r="K5" s="96">
        <v>3139.35</v>
      </c>
      <c r="L5" s="101">
        <v>2402.5300000000002</v>
      </c>
      <c r="M5" s="105">
        <v>3001.85</v>
      </c>
      <c r="N5" s="107">
        <v>2891.55</v>
      </c>
      <c r="O5" s="112">
        <v>3909.46</v>
      </c>
      <c r="P5" s="133">
        <v>3688.1</v>
      </c>
      <c r="Q5" s="31">
        <v>4138.6400000000003</v>
      </c>
      <c r="R5" s="171">
        <v>4311.6400000000003</v>
      </c>
      <c r="S5" s="8">
        <f t="shared" si="0"/>
        <v>42920.429999999993</v>
      </c>
      <c r="T5" s="1">
        <f t="shared" si="1"/>
        <v>12</v>
      </c>
      <c r="U5" s="31">
        <f t="shared" si="2"/>
        <v>3576.7024999999994</v>
      </c>
    </row>
    <row r="6" spans="1:21">
      <c r="A6" s="1">
        <v>5</v>
      </c>
      <c r="B6" s="1" t="s">
        <v>543</v>
      </c>
      <c r="C6" s="4">
        <v>15020999</v>
      </c>
      <c r="D6" s="4">
        <v>132</v>
      </c>
      <c r="E6" s="1" t="s">
        <v>346</v>
      </c>
      <c r="F6" s="55">
        <v>4896.04</v>
      </c>
      <c r="G6" s="31" t="s">
        <v>455</v>
      </c>
      <c r="H6" s="87">
        <v>3773.72</v>
      </c>
      <c r="I6" s="93">
        <v>4476.12</v>
      </c>
      <c r="J6" s="99">
        <v>5671.39</v>
      </c>
      <c r="K6" s="96">
        <v>3775.37</v>
      </c>
      <c r="L6" s="101">
        <v>2193.6799999999998</v>
      </c>
      <c r="M6" s="105">
        <v>2819</v>
      </c>
      <c r="N6" s="107">
        <v>2845</v>
      </c>
      <c r="O6" s="112">
        <v>3232.79</v>
      </c>
      <c r="P6" s="133">
        <v>4481.08</v>
      </c>
      <c r="Q6" s="31">
        <v>4216.97</v>
      </c>
      <c r="R6" s="171">
        <v>3360.82</v>
      </c>
      <c r="S6" s="8">
        <f t="shared" si="0"/>
        <v>45741.98</v>
      </c>
      <c r="T6" s="1">
        <f t="shared" si="1"/>
        <v>12</v>
      </c>
      <c r="U6" s="31">
        <f t="shared" si="2"/>
        <v>3811.8316666666669</v>
      </c>
    </row>
    <row r="7" spans="1:21">
      <c r="A7" s="1">
        <v>6</v>
      </c>
      <c r="B7" s="1" t="s">
        <v>534</v>
      </c>
      <c r="C7" s="4">
        <v>70000</v>
      </c>
      <c r="D7" s="4">
        <v>89</v>
      </c>
      <c r="E7" s="1" t="s">
        <v>229</v>
      </c>
      <c r="F7" s="55">
        <v>1055.17</v>
      </c>
      <c r="G7" s="31" t="s">
        <v>406</v>
      </c>
      <c r="H7" s="87">
        <v>1041.3599999999999</v>
      </c>
      <c r="I7" s="93">
        <v>1101.46</v>
      </c>
      <c r="J7" s="99">
        <v>1084.71</v>
      </c>
      <c r="K7" s="96">
        <v>1072.4100000000001</v>
      </c>
      <c r="L7" s="101">
        <v>1124.27</v>
      </c>
      <c r="M7" s="105">
        <v>1140.96</v>
      </c>
      <c r="N7" s="107">
        <v>1176.05</v>
      </c>
      <c r="O7" s="112">
        <v>1048.55</v>
      </c>
      <c r="P7" s="133">
        <v>979.39</v>
      </c>
      <c r="Q7" s="31">
        <v>879.46</v>
      </c>
      <c r="R7" s="171">
        <v>1058.07</v>
      </c>
      <c r="S7" s="8">
        <f t="shared" si="0"/>
        <v>12761.859999999997</v>
      </c>
      <c r="T7" s="1">
        <f t="shared" si="1"/>
        <v>12</v>
      </c>
      <c r="U7" s="31">
        <f t="shared" si="2"/>
        <v>1063.488333333333</v>
      </c>
    </row>
    <row r="8" spans="1:21">
      <c r="A8" s="1">
        <v>7</v>
      </c>
      <c r="B8" s="1" t="s">
        <v>535</v>
      </c>
      <c r="C8" s="4">
        <v>7003201</v>
      </c>
      <c r="D8" s="4">
        <v>4130</v>
      </c>
      <c r="E8" s="1" t="s">
        <v>385</v>
      </c>
      <c r="F8" s="55">
        <v>8120.81</v>
      </c>
      <c r="G8" s="31" t="s">
        <v>404</v>
      </c>
      <c r="H8" s="87">
        <v>6128.86</v>
      </c>
      <c r="I8" s="93">
        <v>7701.75</v>
      </c>
      <c r="J8" s="99">
        <v>8799.09</v>
      </c>
      <c r="K8" s="96">
        <v>6351.79</v>
      </c>
      <c r="L8" s="101">
        <v>4168.62</v>
      </c>
      <c r="M8" s="105">
        <v>4371.7700000000004</v>
      </c>
      <c r="N8" s="107">
        <v>3950.49</v>
      </c>
      <c r="O8" s="112">
        <v>7057.08</v>
      </c>
      <c r="P8" s="133">
        <v>8387.2999999999993</v>
      </c>
      <c r="Q8" s="31">
        <v>9208.89</v>
      </c>
      <c r="R8" s="171">
        <v>7531.08</v>
      </c>
      <c r="S8" s="8">
        <f>+SUM(F8:R8)</f>
        <v>81777.53</v>
      </c>
      <c r="T8" s="1">
        <f>COUNT(F8:R8)</f>
        <v>12</v>
      </c>
      <c r="U8" s="31">
        <f>+S8/T8</f>
        <v>6814.7941666666666</v>
      </c>
    </row>
    <row r="9" spans="1:21">
      <c r="A9" s="1">
        <v>8</v>
      </c>
      <c r="B9" s="1" t="s">
        <v>534</v>
      </c>
      <c r="C9" s="163">
        <v>70002</v>
      </c>
      <c r="D9" s="42">
        <v>90</v>
      </c>
      <c r="E9" s="11" t="s">
        <v>230</v>
      </c>
      <c r="F9" s="55">
        <v>1515.87</v>
      </c>
      <c r="G9" s="31" t="s">
        <v>405</v>
      </c>
      <c r="H9" s="87">
        <v>1480.04</v>
      </c>
      <c r="I9" s="93">
        <v>1432.75</v>
      </c>
      <c r="J9" s="99">
        <v>1462.15</v>
      </c>
      <c r="K9" s="96">
        <v>1477.34</v>
      </c>
      <c r="L9" s="101">
        <v>1585.32</v>
      </c>
      <c r="M9" s="105">
        <v>1527.78</v>
      </c>
      <c r="N9" s="107">
        <v>1521.62</v>
      </c>
      <c r="O9" s="112">
        <v>1420.69</v>
      </c>
      <c r="P9" s="31">
        <v>1516.45</v>
      </c>
      <c r="Q9" s="31">
        <v>1515.85</v>
      </c>
      <c r="R9" s="31"/>
      <c r="S9" s="8">
        <f t="shared" si="0"/>
        <v>16455.86</v>
      </c>
      <c r="T9" s="1">
        <f t="shared" si="1"/>
        <v>11</v>
      </c>
      <c r="U9" s="31">
        <f t="shared" si="2"/>
        <v>1495.9872727272727</v>
      </c>
    </row>
    <row r="10" spans="1:21">
      <c r="A10" s="1">
        <v>9</v>
      </c>
      <c r="B10" s="1" t="s">
        <v>532</v>
      </c>
      <c r="C10" s="4">
        <v>70044</v>
      </c>
      <c r="D10" s="4"/>
      <c r="E10" s="1" t="s">
        <v>231</v>
      </c>
      <c r="F10" s="55">
        <v>10216.16</v>
      </c>
      <c r="G10" s="31" t="s">
        <v>407</v>
      </c>
      <c r="H10" s="87">
        <v>6495.83</v>
      </c>
      <c r="I10" s="93">
        <v>7050.96</v>
      </c>
      <c r="J10" s="99">
        <v>9553.59</v>
      </c>
      <c r="K10" s="96">
        <v>5093.42</v>
      </c>
      <c r="L10" s="101">
        <v>3940.66</v>
      </c>
      <c r="M10" s="105">
        <v>3910.27</v>
      </c>
      <c r="N10" s="107">
        <v>4973.1400000000003</v>
      </c>
      <c r="O10" s="112">
        <v>7603.4</v>
      </c>
      <c r="P10" s="133">
        <v>8588.08</v>
      </c>
      <c r="Q10" s="31">
        <v>8345.92</v>
      </c>
      <c r="R10" s="171">
        <v>1457.66</v>
      </c>
      <c r="S10" s="8">
        <f t="shared" si="0"/>
        <v>77229.09</v>
      </c>
      <c r="T10" s="1">
        <f t="shared" si="1"/>
        <v>12</v>
      </c>
      <c r="U10" s="31">
        <f t="shared" si="2"/>
        <v>6435.7574999999997</v>
      </c>
    </row>
    <row r="11" spans="1:21">
      <c r="A11" s="1">
        <v>10</v>
      </c>
      <c r="B11" s="1" t="s">
        <v>536</v>
      </c>
      <c r="C11" s="4">
        <v>70067</v>
      </c>
      <c r="D11" s="4"/>
      <c r="E11" s="1" t="s">
        <v>232</v>
      </c>
      <c r="F11" s="55">
        <v>4228.8100000000004</v>
      </c>
      <c r="G11" s="31" t="s">
        <v>408</v>
      </c>
      <c r="H11" s="87">
        <v>3122.51</v>
      </c>
      <c r="I11" s="93">
        <v>2580.37</v>
      </c>
      <c r="J11" s="99">
        <v>3318.48</v>
      </c>
      <c r="K11" s="96">
        <v>2239.8200000000002</v>
      </c>
      <c r="L11" s="101">
        <v>1750.91</v>
      </c>
      <c r="M11" s="105">
        <v>1712.05</v>
      </c>
      <c r="N11" s="107">
        <v>2247.4699999999998</v>
      </c>
      <c r="O11" s="112">
        <v>3056.42</v>
      </c>
      <c r="P11" s="133">
        <v>4053.54</v>
      </c>
      <c r="Q11" s="31">
        <v>3382.62</v>
      </c>
      <c r="R11" s="171">
        <v>3838.86</v>
      </c>
      <c r="S11" s="8">
        <f t="shared" si="0"/>
        <v>35531.86</v>
      </c>
      <c r="T11" s="1">
        <f t="shared" si="1"/>
        <v>12</v>
      </c>
      <c r="U11" s="31">
        <f t="shared" si="2"/>
        <v>2960.9883333333332</v>
      </c>
    </row>
    <row r="12" spans="1:21">
      <c r="A12" s="1">
        <v>11</v>
      </c>
      <c r="B12" s="1" t="s">
        <v>532</v>
      </c>
      <c r="C12" s="4">
        <v>70075</v>
      </c>
      <c r="D12" s="4">
        <v>95</v>
      </c>
      <c r="E12" s="1" t="s">
        <v>234</v>
      </c>
      <c r="F12" s="55">
        <v>8096.26</v>
      </c>
      <c r="G12" s="31" t="s">
        <v>409</v>
      </c>
      <c r="H12" s="87">
        <v>6008.94</v>
      </c>
      <c r="I12" s="93">
        <v>6380.81</v>
      </c>
      <c r="J12" s="99">
        <v>7629.98</v>
      </c>
      <c r="K12" s="96">
        <v>4964.49</v>
      </c>
      <c r="L12" s="101">
        <v>4342.1099999999997</v>
      </c>
      <c r="M12" s="105">
        <v>4198.07</v>
      </c>
      <c r="N12" s="107">
        <v>4766.84</v>
      </c>
      <c r="O12" s="112">
        <v>6681.38</v>
      </c>
      <c r="P12" s="133">
        <v>8194.4599999999991</v>
      </c>
      <c r="Q12" s="31">
        <v>6881.94</v>
      </c>
      <c r="R12" s="171">
        <v>6587.93</v>
      </c>
      <c r="S12" s="8">
        <f t="shared" si="0"/>
        <v>74733.209999999992</v>
      </c>
      <c r="T12" s="1">
        <f t="shared" si="1"/>
        <v>12</v>
      </c>
      <c r="U12" s="31">
        <f t="shared" si="2"/>
        <v>6227.767499999999</v>
      </c>
    </row>
    <row r="13" spans="1:21">
      <c r="A13" s="1">
        <v>12</v>
      </c>
      <c r="B13" s="1" t="s">
        <v>535</v>
      </c>
      <c r="C13" s="4">
        <v>70053</v>
      </c>
      <c r="D13" s="4">
        <v>96</v>
      </c>
      <c r="E13" s="1" t="s">
        <v>235</v>
      </c>
      <c r="F13" s="55">
        <f>17347.2+15450.17</f>
        <v>32797.370000000003</v>
      </c>
      <c r="G13" s="31" t="s">
        <v>396</v>
      </c>
      <c r="H13" s="87">
        <f>11733.78</f>
        <v>11733.78</v>
      </c>
      <c r="I13" s="93">
        <v>15151.44</v>
      </c>
      <c r="J13" s="99">
        <v>15981.69</v>
      </c>
      <c r="K13" s="96">
        <v>11396.87</v>
      </c>
      <c r="L13" s="101">
        <v>5062.21</v>
      </c>
      <c r="M13" s="105">
        <v>7893.38</v>
      </c>
      <c r="N13" s="107">
        <v>9995.43</v>
      </c>
      <c r="O13" s="112">
        <v>13206.57</v>
      </c>
      <c r="P13" s="133">
        <v>16432.8</v>
      </c>
      <c r="Q13" s="31">
        <f>21057.84+14784.77</f>
        <v>35842.61</v>
      </c>
      <c r="R13" s="171">
        <v>13800.82</v>
      </c>
      <c r="S13" s="8">
        <f t="shared" si="0"/>
        <v>189294.97000000003</v>
      </c>
      <c r="T13" s="1">
        <f t="shared" si="1"/>
        <v>12</v>
      </c>
      <c r="U13" s="31">
        <f t="shared" si="2"/>
        <v>15774.580833333335</v>
      </c>
    </row>
    <row r="14" spans="1:21">
      <c r="A14" s="1">
        <v>13</v>
      </c>
      <c r="B14" s="1" t="s">
        <v>530</v>
      </c>
      <c r="C14" s="4">
        <v>15021222</v>
      </c>
      <c r="D14" s="4">
        <v>97</v>
      </c>
      <c r="E14" s="1" t="s">
        <v>236</v>
      </c>
      <c r="F14" s="55">
        <v>9655.7999999999993</v>
      </c>
      <c r="G14" s="31" t="s">
        <v>397</v>
      </c>
      <c r="H14" s="87">
        <v>9538.2999999999993</v>
      </c>
      <c r="I14" s="93">
        <v>9626.99</v>
      </c>
      <c r="J14" s="99">
        <v>14220.7</v>
      </c>
      <c r="K14" s="96">
        <v>10867.56</v>
      </c>
      <c r="L14" s="101">
        <v>8590.36</v>
      </c>
      <c r="M14" s="105">
        <v>9447.7800000000007</v>
      </c>
      <c r="N14" s="107">
        <v>11207.3</v>
      </c>
      <c r="O14" s="112">
        <v>14223.67</v>
      </c>
      <c r="P14" s="133">
        <v>16335.53</v>
      </c>
      <c r="Q14" s="31">
        <v>15475.86</v>
      </c>
      <c r="R14" s="171">
        <v>14233.09</v>
      </c>
      <c r="S14" s="8">
        <f t="shared" si="0"/>
        <v>143422.94</v>
      </c>
      <c r="T14" s="1">
        <f t="shared" si="1"/>
        <v>12</v>
      </c>
      <c r="U14" s="31">
        <f t="shared" si="2"/>
        <v>11951.911666666667</v>
      </c>
    </row>
    <row r="15" spans="1:21">
      <c r="B15" s="1" t="s">
        <v>537</v>
      </c>
      <c r="C15" s="4">
        <v>15026269</v>
      </c>
      <c r="D15" s="4"/>
      <c r="E15" s="1" t="s">
        <v>463</v>
      </c>
      <c r="F15" s="114"/>
      <c r="G15" s="136"/>
      <c r="H15" s="116"/>
      <c r="I15" s="119"/>
      <c r="J15" s="123"/>
      <c r="K15" s="120"/>
      <c r="L15" s="124"/>
      <c r="M15" s="127"/>
      <c r="N15" s="128"/>
      <c r="O15" s="130"/>
      <c r="P15" s="134"/>
      <c r="Q15" s="31">
        <v>11792.02</v>
      </c>
      <c r="R15" s="171">
        <v>9493.59</v>
      </c>
      <c r="S15" s="8"/>
      <c r="U15" s="31"/>
    </row>
    <row r="16" spans="1:21">
      <c r="A16" s="1">
        <v>14</v>
      </c>
      <c r="B16" s="1" t="s">
        <v>538</v>
      </c>
      <c r="C16" s="4">
        <v>70020</v>
      </c>
      <c r="D16" s="4"/>
      <c r="E16" s="1" t="s">
        <v>237</v>
      </c>
      <c r="F16" s="55">
        <v>8296.68</v>
      </c>
      <c r="G16" s="31" t="s">
        <v>456</v>
      </c>
      <c r="H16" s="87">
        <v>5827.01</v>
      </c>
      <c r="I16" s="93">
        <v>8405.48</v>
      </c>
      <c r="J16" s="99">
        <v>8050.06</v>
      </c>
      <c r="K16" s="96">
        <v>4954.99</v>
      </c>
      <c r="L16" s="101">
        <v>4008.71</v>
      </c>
      <c r="M16" s="105">
        <v>3469.96</v>
      </c>
      <c r="N16" s="107">
        <v>4260.4799999999996</v>
      </c>
      <c r="O16" s="112">
        <v>7985.48</v>
      </c>
      <c r="P16" s="133">
        <v>7136.67</v>
      </c>
      <c r="Q16" s="31">
        <v>7602.79</v>
      </c>
      <c r="R16" s="171">
        <v>8399.65</v>
      </c>
      <c r="S16" s="8">
        <f t="shared" si="0"/>
        <v>78397.959999999977</v>
      </c>
      <c r="T16" s="1">
        <f t="shared" si="1"/>
        <v>12</v>
      </c>
      <c r="U16" s="31">
        <f t="shared" si="2"/>
        <v>6533.1633333333311</v>
      </c>
    </row>
    <row r="17" spans="1:21">
      <c r="A17" s="1">
        <v>15</v>
      </c>
      <c r="C17" s="164">
        <v>15006166</v>
      </c>
      <c r="D17" s="4"/>
      <c r="E17" s="1" t="s">
        <v>238</v>
      </c>
      <c r="F17" s="114"/>
      <c r="G17" s="136"/>
      <c r="H17" s="116"/>
      <c r="I17" s="119"/>
      <c r="J17" s="123"/>
      <c r="K17" s="120"/>
      <c r="L17" s="124"/>
      <c r="M17" s="127"/>
      <c r="N17" s="128"/>
      <c r="O17" s="130"/>
      <c r="P17" s="134"/>
      <c r="Q17" s="136"/>
      <c r="R17" s="173"/>
      <c r="S17" s="8">
        <f t="shared" si="0"/>
        <v>0</v>
      </c>
      <c r="T17" s="1">
        <f t="shared" si="1"/>
        <v>0</v>
      </c>
      <c r="U17" s="31" t="e">
        <f t="shared" si="2"/>
        <v>#DIV/0!</v>
      </c>
    </row>
    <row r="18" spans="1:21">
      <c r="A18" s="1">
        <v>16</v>
      </c>
      <c r="B18" s="1" t="s">
        <v>536</v>
      </c>
      <c r="C18" s="4">
        <v>15007853</v>
      </c>
      <c r="D18" s="4"/>
      <c r="E18" s="1" t="s">
        <v>111</v>
      </c>
      <c r="F18" s="55">
        <v>3356.89</v>
      </c>
      <c r="G18" s="31" t="s">
        <v>410</v>
      </c>
      <c r="H18" s="87">
        <v>2539.7199999999998</v>
      </c>
      <c r="I18" s="93">
        <v>2927.68</v>
      </c>
      <c r="J18" s="99">
        <v>3220.09</v>
      </c>
      <c r="K18" s="96">
        <v>2447.91</v>
      </c>
      <c r="L18" s="101">
        <v>1929.53</v>
      </c>
      <c r="M18" s="105">
        <v>1644</v>
      </c>
      <c r="N18" s="107">
        <v>1944.04</v>
      </c>
      <c r="O18" s="112">
        <v>2694.98</v>
      </c>
      <c r="P18" s="133">
        <v>3536.91</v>
      </c>
      <c r="Q18" s="31">
        <v>3588.54</v>
      </c>
      <c r="R18" s="171">
        <v>2944.5</v>
      </c>
      <c r="S18" s="8">
        <f t="shared" si="0"/>
        <v>32774.79</v>
      </c>
      <c r="T18" s="1">
        <f t="shared" si="1"/>
        <v>12</v>
      </c>
      <c r="U18" s="31">
        <f t="shared" si="2"/>
        <v>2731.2325000000001</v>
      </c>
    </row>
    <row r="19" spans="1:21">
      <c r="A19" s="1">
        <v>17</v>
      </c>
      <c r="B19" s="1" t="s">
        <v>539</v>
      </c>
      <c r="C19" s="4">
        <v>70007</v>
      </c>
      <c r="D19" s="4">
        <v>99</v>
      </c>
      <c r="E19" s="1" t="s">
        <v>239</v>
      </c>
      <c r="F19" s="55">
        <v>486.3</v>
      </c>
      <c r="G19" s="31" t="s">
        <v>412</v>
      </c>
      <c r="H19" s="87">
        <v>523.5</v>
      </c>
      <c r="I19" s="93">
        <v>578.1</v>
      </c>
      <c r="J19" s="99">
        <v>607.5</v>
      </c>
      <c r="K19" s="96">
        <v>591</v>
      </c>
      <c r="L19" s="101">
        <v>582</v>
      </c>
      <c r="M19" s="105">
        <v>567</v>
      </c>
      <c r="N19" s="107">
        <v>531</v>
      </c>
      <c r="O19" s="112">
        <v>543</v>
      </c>
      <c r="P19" s="133">
        <v>542.1</v>
      </c>
      <c r="Q19" s="31">
        <v>555</v>
      </c>
      <c r="R19" s="171">
        <v>574.5</v>
      </c>
      <c r="S19" s="8">
        <f t="shared" si="0"/>
        <v>6681</v>
      </c>
      <c r="T19" s="1">
        <f t="shared" si="1"/>
        <v>12</v>
      </c>
      <c r="U19" s="31">
        <f t="shared" si="2"/>
        <v>556.75</v>
      </c>
    </row>
    <row r="20" spans="1:21">
      <c r="A20" s="1">
        <v>18</v>
      </c>
      <c r="B20" s="1" t="s">
        <v>536</v>
      </c>
      <c r="C20" s="4">
        <v>15010839</v>
      </c>
      <c r="D20" s="4"/>
      <c r="E20" s="1" t="s">
        <v>300</v>
      </c>
      <c r="F20" s="55">
        <v>12216.37</v>
      </c>
      <c r="G20" s="31" t="s">
        <v>411</v>
      </c>
      <c r="H20" s="87">
        <v>6380.47</v>
      </c>
      <c r="I20" s="93">
        <v>9059.57</v>
      </c>
      <c r="J20" s="99">
        <v>7772.12</v>
      </c>
      <c r="K20" s="96">
        <v>4761.25</v>
      </c>
      <c r="L20" s="101">
        <v>5082.95</v>
      </c>
      <c r="M20" s="105">
        <v>3819.86</v>
      </c>
      <c r="N20" s="107">
        <v>4334.97</v>
      </c>
      <c r="O20" s="112">
        <v>8929</v>
      </c>
      <c r="P20" s="133">
        <v>10737.62</v>
      </c>
      <c r="Q20" s="31">
        <v>11931.2</v>
      </c>
      <c r="R20" s="171">
        <v>10428.540000000001</v>
      </c>
      <c r="S20" s="8">
        <f t="shared" si="0"/>
        <v>95453.919999999984</v>
      </c>
      <c r="T20" s="1">
        <f t="shared" si="1"/>
        <v>12</v>
      </c>
      <c r="U20" s="31">
        <f t="shared" si="2"/>
        <v>7954.493333333332</v>
      </c>
    </row>
    <row r="21" spans="1:21">
      <c r="A21" s="1">
        <v>19</v>
      </c>
      <c r="B21" s="1" t="s">
        <v>533</v>
      </c>
      <c r="C21" s="4">
        <v>15005502</v>
      </c>
      <c r="D21" s="4">
        <v>137</v>
      </c>
      <c r="E21" s="1" t="s">
        <v>240</v>
      </c>
      <c r="F21" s="55">
        <v>24346.799999999999</v>
      </c>
      <c r="G21" s="31" t="s">
        <v>413</v>
      </c>
      <c r="H21" s="87">
        <v>22363.91</v>
      </c>
      <c r="I21" s="93">
        <v>23475.1</v>
      </c>
      <c r="J21" s="99">
        <v>27306.06</v>
      </c>
      <c r="K21" s="96">
        <v>20789.099999999999</v>
      </c>
      <c r="L21" s="101">
        <v>15368.46</v>
      </c>
      <c r="M21" s="105">
        <v>15542.16</v>
      </c>
      <c r="N21" s="107">
        <v>18682.8</v>
      </c>
      <c r="O21" s="112">
        <v>22022.94</v>
      </c>
      <c r="P21" s="133">
        <v>26877.66</v>
      </c>
      <c r="Q21" s="31">
        <v>26369.46</v>
      </c>
      <c r="R21" s="171">
        <v>23811.78</v>
      </c>
      <c r="S21" s="8">
        <f t="shared" si="0"/>
        <v>266956.23</v>
      </c>
      <c r="T21" s="1">
        <f t="shared" si="1"/>
        <v>12</v>
      </c>
      <c r="U21" s="31">
        <f t="shared" si="2"/>
        <v>22246.352499999997</v>
      </c>
    </row>
    <row r="22" spans="1:21">
      <c r="A22" s="1">
        <v>20</v>
      </c>
      <c r="B22" s="1" t="s">
        <v>536</v>
      </c>
      <c r="C22" s="4">
        <v>70008</v>
      </c>
      <c r="D22" s="4">
        <v>100</v>
      </c>
      <c r="E22" s="1" t="s">
        <v>241</v>
      </c>
      <c r="F22" s="55">
        <v>2884.43</v>
      </c>
      <c r="G22" s="31" t="s">
        <v>414</v>
      </c>
      <c r="H22" s="87">
        <v>2025.56</v>
      </c>
      <c r="I22" s="93">
        <v>2079.81</v>
      </c>
      <c r="J22" s="99">
        <v>2537.87</v>
      </c>
      <c r="K22" s="96">
        <v>1729.07</v>
      </c>
      <c r="L22" s="101">
        <v>1549.21</v>
      </c>
      <c r="M22" s="105">
        <v>1422.47</v>
      </c>
      <c r="N22" s="107">
        <v>1585.42</v>
      </c>
      <c r="O22" s="112">
        <v>2406.7199999999998</v>
      </c>
      <c r="P22" s="133">
        <v>2731.15</v>
      </c>
      <c r="Q22" s="31">
        <v>2647.89</v>
      </c>
      <c r="R22" s="171">
        <v>2412.79</v>
      </c>
      <c r="S22" s="8">
        <f t="shared" si="0"/>
        <v>26012.39</v>
      </c>
      <c r="T22" s="1">
        <f t="shared" si="1"/>
        <v>12</v>
      </c>
      <c r="U22" s="31">
        <f t="shared" si="2"/>
        <v>2167.6991666666668</v>
      </c>
    </row>
    <row r="23" spans="1:21">
      <c r="A23" s="1">
        <v>21</v>
      </c>
      <c r="B23" s="1" t="s">
        <v>540</v>
      </c>
      <c r="C23" s="42">
        <v>70081</v>
      </c>
      <c r="D23" s="42">
        <v>140</v>
      </c>
      <c r="E23" s="11" t="s">
        <v>384</v>
      </c>
      <c r="F23" s="55">
        <v>39211.32</v>
      </c>
      <c r="G23" s="31" t="s">
        <v>415</v>
      </c>
      <c r="H23" s="87">
        <v>29467.51</v>
      </c>
      <c r="I23" s="93">
        <v>39852.699999999997</v>
      </c>
      <c r="J23" s="99">
        <v>48187.92</v>
      </c>
      <c r="K23" s="96">
        <v>30341.5</v>
      </c>
      <c r="L23" s="101">
        <v>19758.03</v>
      </c>
      <c r="M23" s="105">
        <v>18108.32</v>
      </c>
      <c r="N23" s="107">
        <v>23131.61</v>
      </c>
      <c r="O23" s="112">
        <v>34696.67</v>
      </c>
      <c r="P23" s="133">
        <v>36341.14</v>
      </c>
      <c r="Q23" s="31">
        <v>42525.279999999999</v>
      </c>
      <c r="R23" s="171">
        <v>37441.75</v>
      </c>
      <c r="S23" s="8">
        <f>+SUM(F23:R23)</f>
        <v>399063.75</v>
      </c>
      <c r="T23" s="1">
        <f>COUNT(F23:R23)</f>
        <v>12</v>
      </c>
      <c r="U23" s="31">
        <f>+S23/T23</f>
        <v>33255.3125</v>
      </c>
    </row>
    <row r="24" spans="1:21">
      <c r="A24" s="1">
        <v>22</v>
      </c>
      <c r="B24" s="1" t="s">
        <v>532</v>
      </c>
      <c r="C24" s="4">
        <v>15025624</v>
      </c>
      <c r="D24" s="4"/>
      <c r="E24" s="1" t="s">
        <v>460</v>
      </c>
      <c r="F24" s="55">
        <v>1825</v>
      </c>
      <c r="G24" s="31" t="s">
        <v>416</v>
      </c>
      <c r="H24" s="87">
        <v>867</v>
      </c>
      <c r="I24" s="93">
        <v>902</v>
      </c>
      <c r="J24" s="99">
        <v>1347</v>
      </c>
      <c r="K24" s="101">
        <v>739</v>
      </c>
      <c r="L24" s="105">
        <v>537</v>
      </c>
      <c r="M24" s="105">
        <v>537</v>
      </c>
      <c r="N24" s="107">
        <v>828.84</v>
      </c>
      <c r="O24" s="112">
        <v>1174.44</v>
      </c>
      <c r="P24" s="133">
        <v>1676.22</v>
      </c>
      <c r="Q24" s="31">
        <v>982.56</v>
      </c>
      <c r="R24" s="171">
        <v>1095.24</v>
      </c>
      <c r="S24" s="8">
        <f>+SUM(F24:R24)</f>
        <v>12511.3</v>
      </c>
      <c r="T24" s="1">
        <f>COUNT(F24:R24)</f>
        <v>12</v>
      </c>
      <c r="U24" s="31">
        <f>+S24/T24</f>
        <v>1042.6083333333333</v>
      </c>
    </row>
    <row r="25" spans="1:21">
      <c r="A25" s="1">
        <v>23</v>
      </c>
      <c r="B25" s="1" t="s">
        <v>541</v>
      </c>
      <c r="C25" s="4">
        <v>70072</v>
      </c>
      <c r="D25" s="4">
        <v>102</v>
      </c>
      <c r="E25" s="1" t="s">
        <v>242</v>
      </c>
      <c r="F25" s="55">
        <v>5554.6</v>
      </c>
      <c r="G25" s="31" t="s">
        <v>417</v>
      </c>
      <c r="H25" s="87">
        <v>6594.47</v>
      </c>
      <c r="I25" s="93">
        <v>6891.27</v>
      </c>
      <c r="J25" s="99">
        <v>6242.73</v>
      </c>
      <c r="K25" s="96">
        <v>4605.3999999999996</v>
      </c>
      <c r="L25" s="101">
        <v>2742.38</v>
      </c>
      <c r="M25" s="105">
        <v>3271.69</v>
      </c>
      <c r="N25" s="107">
        <v>3897.99</v>
      </c>
      <c r="O25" s="112">
        <v>4707.67</v>
      </c>
      <c r="P25" s="133">
        <v>5664.6</v>
      </c>
      <c r="Q25" s="31">
        <v>4907.84</v>
      </c>
      <c r="R25" s="171">
        <v>4599.59</v>
      </c>
      <c r="S25" s="8">
        <f t="shared" si="0"/>
        <v>59680.229999999996</v>
      </c>
      <c r="T25" s="1">
        <f t="shared" si="1"/>
        <v>12</v>
      </c>
      <c r="U25" s="31">
        <f t="shared" si="2"/>
        <v>4973.3525</v>
      </c>
    </row>
    <row r="26" spans="1:21">
      <c r="A26" s="1">
        <v>24</v>
      </c>
      <c r="B26" s="1" t="s">
        <v>540</v>
      </c>
      <c r="C26" s="4">
        <v>15006827</v>
      </c>
      <c r="D26" s="4">
        <v>4124</v>
      </c>
      <c r="E26" s="1" t="s">
        <v>344</v>
      </c>
      <c r="F26" s="55">
        <v>18086.810000000001</v>
      </c>
      <c r="G26" s="31" t="s">
        <v>418</v>
      </c>
      <c r="H26" s="87">
        <v>16023.03</v>
      </c>
      <c r="I26" s="93">
        <v>13141.16</v>
      </c>
      <c r="J26" s="99">
        <v>16484.18</v>
      </c>
      <c r="K26" s="96">
        <v>9536.5499999999993</v>
      </c>
      <c r="L26" s="101">
        <v>5428.81</v>
      </c>
      <c r="M26" s="105">
        <v>6018</v>
      </c>
      <c r="N26" s="107">
        <v>7635.32</v>
      </c>
      <c r="O26" s="112">
        <v>10566.54</v>
      </c>
      <c r="P26" s="133">
        <v>16622.580000000002</v>
      </c>
      <c r="Q26" s="31">
        <v>17002.46</v>
      </c>
      <c r="R26" s="171">
        <v>15295.71</v>
      </c>
      <c r="S26" s="8">
        <f t="shared" si="0"/>
        <v>151841.15</v>
      </c>
      <c r="T26" s="1">
        <f t="shared" si="1"/>
        <v>12</v>
      </c>
      <c r="U26" s="31">
        <f t="shared" si="2"/>
        <v>12653.429166666667</v>
      </c>
    </row>
    <row r="27" spans="1:21">
      <c r="A27" s="1">
        <v>25</v>
      </c>
      <c r="B27" s="1" t="s">
        <v>532</v>
      </c>
      <c r="C27" s="4">
        <v>15007588</v>
      </c>
      <c r="D27" s="4"/>
      <c r="E27" s="1" t="s">
        <v>246</v>
      </c>
      <c r="F27" s="55">
        <v>16739.64</v>
      </c>
      <c r="G27" s="31"/>
      <c r="H27" s="87">
        <v>15401.34</v>
      </c>
      <c r="I27" s="93">
        <v>14992.68</v>
      </c>
      <c r="J27" s="99">
        <v>13184.2</v>
      </c>
      <c r="K27" s="96">
        <v>15051.06</v>
      </c>
      <c r="L27" s="101">
        <f>14625.27+15051.06</f>
        <v>29676.33</v>
      </c>
      <c r="M27" s="105">
        <f>5281.71+11272.5+12132.78-14625.27-15051.06</f>
        <v>-989.34000000000196</v>
      </c>
      <c r="N27" s="107">
        <v>12199.98</v>
      </c>
      <c r="O27" s="112">
        <v>18231.599999999999</v>
      </c>
      <c r="P27" s="133">
        <v>21382.68</v>
      </c>
      <c r="Q27" s="31">
        <v>20085.36</v>
      </c>
      <c r="R27" s="171">
        <v>18451.740000000002</v>
      </c>
      <c r="S27" s="8">
        <f>+SUM(F27:R27)</f>
        <v>194407.26999999996</v>
      </c>
      <c r="T27" s="1">
        <f>COUNT(F27:R27)</f>
        <v>12</v>
      </c>
      <c r="U27" s="31">
        <f>+S27/T27</f>
        <v>16200.605833333329</v>
      </c>
    </row>
    <row r="28" spans="1:21">
      <c r="A28" s="1">
        <v>26</v>
      </c>
      <c r="C28" s="164">
        <v>7001601</v>
      </c>
      <c r="D28" s="4">
        <v>138</v>
      </c>
      <c r="E28" s="1" t="s">
        <v>243</v>
      </c>
      <c r="F28" s="114"/>
      <c r="G28" s="32" t="s">
        <v>457</v>
      </c>
      <c r="H28" s="93">
        <v>15320.68</v>
      </c>
      <c r="I28" s="93">
        <f>11877.86+12537.75</f>
        <v>24415.61</v>
      </c>
      <c r="J28" s="99">
        <v>15717.9</v>
      </c>
      <c r="K28" s="35"/>
      <c r="L28" s="35"/>
      <c r="M28" s="35"/>
      <c r="N28" s="35"/>
      <c r="O28" s="31"/>
      <c r="P28" s="31"/>
      <c r="Q28" s="31"/>
      <c r="R28" s="31"/>
      <c r="S28" s="8">
        <f t="shared" si="0"/>
        <v>55454.19</v>
      </c>
      <c r="T28" s="1">
        <f t="shared" si="1"/>
        <v>3</v>
      </c>
      <c r="U28" s="31">
        <f t="shared" si="2"/>
        <v>18484.73</v>
      </c>
    </row>
    <row r="29" spans="1:21">
      <c r="A29" s="1">
        <v>27</v>
      </c>
      <c r="B29" s="1" t="s">
        <v>531</v>
      </c>
      <c r="C29" s="4">
        <v>15004535</v>
      </c>
      <c r="D29" s="4">
        <v>124</v>
      </c>
      <c r="E29" s="1" t="s">
        <v>112</v>
      </c>
      <c r="F29" s="55">
        <v>2100.9</v>
      </c>
      <c r="G29" s="31" t="s">
        <v>419</v>
      </c>
      <c r="H29" s="87">
        <v>2601.3000000000002</v>
      </c>
      <c r="I29" s="93">
        <v>2190.67</v>
      </c>
      <c r="J29" s="99">
        <v>5193.6000000000004</v>
      </c>
      <c r="K29" s="96">
        <v>2237.88</v>
      </c>
      <c r="L29" s="101">
        <v>1980</v>
      </c>
      <c r="M29" s="105">
        <v>2023.08</v>
      </c>
      <c r="N29" s="107">
        <v>2695.68</v>
      </c>
      <c r="O29" s="112">
        <v>2618.34</v>
      </c>
      <c r="P29" s="133">
        <v>4832.28</v>
      </c>
      <c r="Q29" s="31">
        <v>4390.76</v>
      </c>
      <c r="R29" s="171">
        <v>2658.78</v>
      </c>
      <c r="S29" s="8">
        <f t="shared" si="0"/>
        <v>35523.269999999997</v>
      </c>
      <c r="T29" s="1">
        <f t="shared" si="1"/>
        <v>12</v>
      </c>
      <c r="U29" s="31">
        <f t="shared" si="2"/>
        <v>2960.2724999999996</v>
      </c>
    </row>
    <row r="30" spans="1:21">
      <c r="A30" s="1">
        <v>28</v>
      </c>
      <c r="B30" s="1" t="s">
        <v>531</v>
      </c>
      <c r="C30" s="4">
        <v>70035</v>
      </c>
      <c r="D30" s="4">
        <v>136</v>
      </c>
      <c r="E30" s="1" t="s">
        <v>350</v>
      </c>
      <c r="F30" s="55">
        <v>53930.37</v>
      </c>
      <c r="G30" s="31" t="s">
        <v>426</v>
      </c>
      <c r="H30" s="87">
        <v>50873.04</v>
      </c>
      <c r="I30" s="93">
        <v>50659.92</v>
      </c>
      <c r="J30" s="99">
        <v>68565.06</v>
      </c>
      <c r="K30" s="96">
        <v>42669.3</v>
      </c>
      <c r="L30" s="101">
        <v>36874.44</v>
      </c>
      <c r="M30" s="105">
        <v>30742.38</v>
      </c>
      <c r="N30" s="107">
        <v>38544.18</v>
      </c>
      <c r="O30" s="112">
        <v>53779.92</v>
      </c>
      <c r="P30" s="133">
        <v>69598.92</v>
      </c>
      <c r="Q30" s="31">
        <v>61598.28</v>
      </c>
      <c r="R30" s="171">
        <v>52458.9</v>
      </c>
      <c r="S30" s="8">
        <f>+SUM(F30:R30)</f>
        <v>610294.71</v>
      </c>
      <c r="T30" s="1">
        <f>COUNT(F30:R30)</f>
        <v>12</v>
      </c>
      <c r="U30" s="31">
        <f>+S30/T30</f>
        <v>50857.892499999994</v>
      </c>
    </row>
    <row r="31" spans="1:21">
      <c r="A31" s="1">
        <v>29</v>
      </c>
      <c r="C31" s="4">
        <v>70079</v>
      </c>
      <c r="D31" s="4">
        <v>129</v>
      </c>
      <c r="E31" s="1" t="s">
        <v>247</v>
      </c>
      <c r="F31" s="55">
        <v>14911.35</v>
      </c>
      <c r="G31" s="31" t="s">
        <v>420</v>
      </c>
      <c r="H31" s="87">
        <v>13500.94</v>
      </c>
      <c r="I31" s="93">
        <v>13963.25</v>
      </c>
      <c r="J31" s="99">
        <v>17052.07</v>
      </c>
      <c r="K31" s="96">
        <v>11586.14</v>
      </c>
      <c r="L31" s="101">
        <v>8069.91</v>
      </c>
      <c r="M31" s="105">
        <v>9606.84</v>
      </c>
      <c r="N31" s="107">
        <v>10464.969999999999</v>
      </c>
      <c r="O31" s="112">
        <v>13099.49</v>
      </c>
      <c r="P31" s="133">
        <v>15859.08</v>
      </c>
      <c r="Q31" s="31">
        <v>15297.77</v>
      </c>
      <c r="R31" s="171">
        <v>13213.64</v>
      </c>
      <c r="S31" s="8">
        <f t="shared" si="0"/>
        <v>156625.45000000001</v>
      </c>
      <c r="T31" s="1">
        <f t="shared" si="1"/>
        <v>12</v>
      </c>
      <c r="U31" s="31">
        <f t="shared" si="2"/>
        <v>13052.120833333334</v>
      </c>
    </row>
    <row r="32" spans="1:21">
      <c r="A32" s="1">
        <v>30</v>
      </c>
      <c r="B32" s="1" t="s">
        <v>541</v>
      </c>
      <c r="C32" s="4">
        <v>70017</v>
      </c>
      <c r="D32" s="4">
        <v>130</v>
      </c>
      <c r="E32" s="1" t="s">
        <v>248</v>
      </c>
      <c r="F32" s="87">
        <f>4643.43+26042.43+29960.76</f>
        <v>60646.619999999995</v>
      </c>
      <c r="G32" s="31" t="s">
        <v>421</v>
      </c>
      <c r="H32" s="87">
        <v>27189.42</v>
      </c>
      <c r="I32" s="93">
        <v>30391.98</v>
      </c>
      <c r="J32" s="99">
        <v>33813.78</v>
      </c>
      <c r="K32" s="96">
        <v>28070.7</v>
      </c>
      <c r="L32" s="101">
        <v>20665.439999999999</v>
      </c>
      <c r="M32" s="105">
        <v>17230.740000000002</v>
      </c>
      <c r="N32" s="107">
        <v>22937.46</v>
      </c>
      <c r="O32" s="112">
        <v>26016.18</v>
      </c>
      <c r="P32" s="133">
        <v>32815.86</v>
      </c>
      <c r="Q32" s="31">
        <v>30861.78</v>
      </c>
      <c r="R32" s="171">
        <v>26329.26</v>
      </c>
      <c r="S32" s="8">
        <f t="shared" si="0"/>
        <v>356969.22</v>
      </c>
      <c r="T32" s="1">
        <f t="shared" si="1"/>
        <v>12</v>
      </c>
      <c r="U32" s="31">
        <f t="shared" si="2"/>
        <v>29747.434999999998</v>
      </c>
    </row>
    <row r="33" spans="1:21">
      <c r="A33" s="1">
        <v>31</v>
      </c>
      <c r="B33" s="1" t="s">
        <v>543</v>
      </c>
      <c r="C33" s="4">
        <v>70095</v>
      </c>
      <c r="D33" s="4"/>
      <c r="E33" s="1" t="s">
        <v>249</v>
      </c>
      <c r="F33" s="55">
        <v>15553.92</v>
      </c>
      <c r="G33" s="31" t="s">
        <v>398</v>
      </c>
      <c r="H33" s="87">
        <v>14507.72</v>
      </c>
      <c r="I33" s="93">
        <v>15312.89</v>
      </c>
      <c r="J33" s="99">
        <v>16840.84</v>
      </c>
      <c r="K33" s="96">
        <v>12574.92</v>
      </c>
      <c r="L33" s="101">
        <v>10133.530000000001</v>
      </c>
      <c r="M33" s="105">
        <v>10629.79</v>
      </c>
      <c r="N33" s="107">
        <v>12062.56</v>
      </c>
      <c r="O33" s="112">
        <v>14689.74</v>
      </c>
      <c r="P33" s="133">
        <v>16398.88</v>
      </c>
      <c r="Q33" s="31">
        <v>15521.09</v>
      </c>
      <c r="R33" s="171">
        <v>14663.51</v>
      </c>
      <c r="S33" s="8">
        <f t="shared" si="0"/>
        <v>168889.38999999998</v>
      </c>
      <c r="T33" s="1">
        <f t="shared" si="1"/>
        <v>12</v>
      </c>
      <c r="U33" s="31">
        <f t="shared" si="2"/>
        <v>14074.115833333331</v>
      </c>
    </row>
    <row r="34" spans="1:21">
      <c r="A34" s="1">
        <v>32</v>
      </c>
      <c r="B34" s="1" t="s">
        <v>542</v>
      </c>
      <c r="C34" s="4">
        <v>15006999</v>
      </c>
      <c r="D34" s="4"/>
      <c r="E34" s="1" t="s">
        <v>322</v>
      </c>
      <c r="F34" s="55">
        <v>13526.21</v>
      </c>
      <c r="G34" s="31" t="s">
        <v>399</v>
      </c>
      <c r="H34" s="87">
        <v>12022.16</v>
      </c>
      <c r="I34" s="93">
        <v>11745.71</v>
      </c>
      <c r="J34" s="99">
        <v>14798.13</v>
      </c>
      <c r="K34" s="96">
        <v>11112.71</v>
      </c>
      <c r="L34" s="101">
        <v>9118.61</v>
      </c>
      <c r="M34" s="105">
        <v>9712.51</v>
      </c>
      <c r="N34" s="107">
        <v>10646.08</v>
      </c>
      <c r="O34" s="112">
        <v>13267.68</v>
      </c>
      <c r="P34" s="133">
        <v>13877.11</v>
      </c>
      <c r="Q34" s="31">
        <v>14238.51</v>
      </c>
      <c r="R34" s="171">
        <v>13265.96</v>
      </c>
      <c r="S34" s="8">
        <f t="shared" si="0"/>
        <v>147331.37999999998</v>
      </c>
      <c r="T34" s="1">
        <f t="shared" si="1"/>
        <v>12</v>
      </c>
      <c r="U34" s="31">
        <f t="shared" si="2"/>
        <v>12277.614999999998</v>
      </c>
    </row>
    <row r="35" spans="1:21">
      <c r="A35" s="1">
        <v>33</v>
      </c>
      <c r="B35" s="1" t="s">
        <v>541</v>
      </c>
      <c r="C35" s="4">
        <v>70092</v>
      </c>
      <c r="D35" s="4">
        <v>569</v>
      </c>
      <c r="E35" s="1" t="s">
        <v>93</v>
      </c>
      <c r="F35" s="87">
        <v>15113.59</v>
      </c>
      <c r="G35" s="31" t="s">
        <v>422</v>
      </c>
      <c r="H35" s="93">
        <v>13233.46</v>
      </c>
      <c r="I35" s="99">
        <v>14569.47</v>
      </c>
      <c r="J35" s="153">
        <v>15519.22</v>
      </c>
      <c r="K35" s="96">
        <v>12274.86</v>
      </c>
      <c r="L35" s="101">
        <v>8920.33</v>
      </c>
      <c r="M35" s="107">
        <v>9834.92</v>
      </c>
      <c r="N35" s="112">
        <v>11308.81</v>
      </c>
      <c r="O35" s="133">
        <v>13121.59</v>
      </c>
      <c r="P35" s="31">
        <v>13525.01</v>
      </c>
      <c r="Q35" s="171">
        <v>12495.48</v>
      </c>
      <c r="R35" s="31"/>
      <c r="S35" s="8">
        <f>+SUM(F35:R35)</f>
        <v>139916.74</v>
      </c>
      <c r="T35" s="1">
        <f>COUNT(F35:R35)</f>
        <v>11</v>
      </c>
      <c r="U35" s="31">
        <f t="shared" si="2"/>
        <v>12719.703636363636</v>
      </c>
    </row>
    <row r="36" spans="1:21">
      <c r="A36" s="1">
        <v>34</v>
      </c>
      <c r="B36" s="1" t="s">
        <v>530</v>
      </c>
      <c r="C36" s="4">
        <v>70099</v>
      </c>
      <c r="D36" s="4">
        <v>3583</v>
      </c>
      <c r="E36" s="1" t="s">
        <v>105</v>
      </c>
      <c r="F36" s="55">
        <v>14666.03</v>
      </c>
      <c r="G36" s="31" t="s">
        <v>423</v>
      </c>
      <c r="H36" s="87">
        <v>13038.75</v>
      </c>
      <c r="I36" s="93">
        <v>12207.63</v>
      </c>
      <c r="J36" s="99">
        <v>15708.67</v>
      </c>
      <c r="K36" s="96">
        <v>11535.69</v>
      </c>
      <c r="L36" s="101">
        <v>7049.75</v>
      </c>
      <c r="M36" s="105">
        <v>8284.17</v>
      </c>
      <c r="N36" s="107">
        <v>9419.58</v>
      </c>
      <c r="O36" s="112">
        <v>13820.98</v>
      </c>
      <c r="P36" s="133">
        <v>15161.45</v>
      </c>
      <c r="Q36" s="31">
        <v>14765.13</v>
      </c>
      <c r="R36" s="171">
        <v>14778.64</v>
      </c>
      <c r="S36" s="8">
        <f t="shared" si="0"/>
        <v>150436.46999999997</v>
      </c>
      <c r="T36" s="1">
        <f t="shared" si="1"/>
        <v>12</v>
      </c>
      <c r="U36" s="31">
        <f t="shared" si="2"/>
        <v>12536.372499999998</v>
      </c>
    </row>
    <row r="37" spans="1:21">
      <c r="A37" s="1">
        <v>35</v>
      </c>
      <c r="B37" s="1" t="s">
        <v>530</v>
      </c>
      <c r="C37" s="4">
        <v>15006238</v>
      </c>
      <c r="D37" s="4">
        <v>4074</v>
      </c>
      <c r="E37" s="1" t="s">
        <v>325</v>
      </c>
      <c r="F37" s="55">
        <v>18614.63</v>
      </c>
      <c r="G37" s="31" t="s">
        <v>424</v>
      </c>
      <c r="H37" s="87">
        <v>15629.71</v>
      </c>
      <c r="I37" s="93">
        <v>14652.49</v>
      </c>
      <c r="J37" s="99">
        <v>21133.88</v>
      </c>
      <c r="K37" s="96">
        <v>15395.75</v>
      </c>
      <c r="L37" s="101">
        <v>11912.8</v>
      </c>
      <c r="M37" s="105">
        <v>9673.42</v>
      </c>
      <c r="N37" s="107">
        <v>12994.02</v>
      </c>
      <c r="O37" s="112">
        <v>15574.54</v>
      </c>
      <c r="P37" s="133">
        <v>19764.669999999998</v>
      </c>
      <c r="Q37" s="31">
        <v>19369.349999999999</v>
      </c>
      <c r="R37" s="171">
        <v>17775.52</v>
      </c>
      <c r="S37" s="8">
        <f t="shared" ref="S37:S67" si="3">+SUM(F37:R37)</f>
        <v>192490.77999999997</v>
      </c>
      <c r="T37" s="1">
        <f t="shared" si="1"/>
        <v>12</v>
      </c>
      <c r="U37" s="31">
        <f t="shared" si="2"/>
        <v>16040.898333333331</v>
      </c>
    </row>
    <row r="38" spans="1:21">
      <c r="A38" s="1">
        <v>36</v>
      </c>
      <c r="B38" s="1" t="s">
        <v>531</v>
      </c>
      <c r="C38" s="4">
        <v>70021</v>
      </c>
      <c r="D38" s="4">
        <v>645</v>
      </c>
      <c r="E38" s="1" t="s">
        <v>253</v>
      </c>
      <c r="F38" s="55">
        <v>49579.92</v>
      </c>
      <c r="G38" s="31" t="s">
        <v>425</v>
      </c>
      <c r="H38" s="87">
        <v>44452.68</v>
      </c>
      <c r="I38" s="93">
        <v>56014.68</v>
      </c>
      <c r="J38" s="99">
        <v>65476.44</v>
      </c>
      <c r="K38" s="96">
        <v>43787.4</v>
      </c>
      <c r="L38" s="101">
        <v>40140.660000000003</v>
      </c>
      <c r="M38" s="105">
        <v>34760.22</v>
      </c>
      <c r="N38" s="107">
        <v>36290.76</v>
      </c>
      <c r="O38" s="112">
        <v>55848.6</v>
      </c>
      <c r="P38" s="133">
        <v>65109.9</v>
      </c>
      <c r="Q38" s="31">
        <v>58088.46</v>
      </c>
      <c r="R38" s="171">
        <v>50638.68</v>
      </c>
      <c r="S38" s="8">
        <f t="shared" si="3"/>
        <v>600188.4</v>
      </c>
      <c r="T38" s="1">
        <f t="shared" ref="T38:T63" si="4">COUNT(F38:R38)</f>
        <v>12</v>
      </c>
      <c r="U38" s="31">
        <f t="shared" ref="U38:U63" si="5">+S38/T38</f>
        <v>50015.700000000004</v>
      </c>
    </row>
    <row r="39" spans="1:21">
      <c r="A39" s="1">
        <v>37</v>
      </c>
      <c r="B39" s="1" t="s">
        <v>540</v>
      </c>
      <c r="C39" s="4">
        <v>7002501</v>
      </c>
      <c r="D39" s="4"/>
      <c r="E39" s="1" t="s">
        <v>254</v>
      </c>
      <c r="F39" s="55">
        <v>3453</v>
      </c>
      <c r="G39" s="31" t="s">
        <v>427</v>
      </c>
      <c r="H39" s="87">
        <v>3736</v>
      </c>
      <c r="I39" s="93">
        <v>3066</v>
      </c>
      <c r="J39" s="99">
        <v>3158</v>
      </c>
      <c r="K39" s="96">
        <v>2135</v>
      </c>
      <c r="L39" s="101">
        <v>1573</v>
      </c>
      <c r="M39" s="105">
        <v>1609</v>
      </c>
      <c r="N39" s="107">
        <v>1646</v>
      </c>
      <c r="O39" s="112">
        <v>2320</v>
      </c>
      <c r="P39" s="133">
        <v>2752</v>
      </c>
      <c r="Q39" s="31">
        <v>3224</v>
      </c>
      <c r="R39" s="171">
        <v>3070</v>
      </c>
      <c r="S39" s="8">
        <f t="shared" si="3"/>
        <v>31742</v>
      </c>
      <c r="T39" s="1">
        <f t="shared" si="4"/>
        <v>12</v>
      </c>
      <c r="U39" s="31">
        <f t="shared" si="5"/>
        <v>2645.1666666666665</v>
      </c>
    </row>
    <row r="40" spans="1:21">
      <c r="A40" s="1">
        <v>38</v>
      </c>
      <c r="C40" s="163">
        <v>7002801</v>
      </c>
      <c r="D40" s="42"/>
      <c r="E40" s="11" t="s">
        <v>255</v>
      </c>
      <c r="F40" s="114"/>
      <c r="G40" s="136"/>
      <c r="H40" s="116"/>
      <c r="I40" s="119"/>
      <c r="J40" s="123"/>
      <c r="K40" s="120"/>
      <c r="L40" s="124"/>
      <c r="M40" s="127"/>
      <c r="N40" s="128"/>
      <c r="O40" s="130"/>
      <c r="P40" s="134"/>
      <c r="Q40" s="136"/>
      <c r="R40" s="173"/>
      <c r="S40" s="8">
        <f t="shared" si="3"/>
        <v>0</v>
      </c>
      <c r="T40" s="1">
        <f t="shared" si="4"/>
        <v>0</v>
      </c>
      <c r="U40" s="31" t="e">
        <f t="shared" si="5"/>
        <v>#DIV/0!</v>
      </c>
    </row>
    <row r="41" spans="1:21">
      <c r="A41" s="1">
        <v>39</v>
      </c>
      <c r="B41" s="1" t="s">
        <v>536</v>
      </c>
      <c r="C41" s="4">
        <v>70082</v>
      </c>
      <c r="D41" s="4"/>
      <c r="E41" s="1" t="s">
        <v>347</v>
      </c>
      <c r="F41" s="60">
        <v>6476.21</v>
      </c>
      <c r="G41" s="32" t="s">
        <v>428</v>
      </c>
      <c r="H41" s="148">
        <v>5175.33</v>
      </c>
      <c r="I41" s="149">
        <v>6028.94</v>
      </c>
      <c r="J41" s="150">
        <v>6961.04</v>
      </c>
      <c r="K41" s="152">
        <v>6327.79</v>
      </c>
      <c r="L41" s="155">
        <v>5254.06</v>
      </c>
      <c r="M41" s="156">
        <v>4601.87</v>
      </c>
      <c r="N41" s="157">
        <v>5623.29</v>
      </c>
      <c r="O41" s="161">
        <v>6311.88</v>
      </c>
      <c r="P41" s="165">
        <v>7382.53</v>
      </c>
      <c r="Q41" s="32">
        <v>6863.97</v>
      </c>
      <c r="R41" s="172">
        <v>7697.53</v>
      </c>
      <c r="S41" s="8">
        <f>+SUM(F41:R41)</f>
        <v>74704.44</v>
      </c>
      <c r="T41" s="1">
        <f>COUNT(F41:R41)</f>
        <v>12</v>
      </c>
      <c r="U41" s="31">
        <f>+S41/T41</f>
        <v>6225.37</v>
      </c>
    </row>
    <row r="42" spans="1:21">
      <c r="A42" s="1">
        <v>40</v>
      </c>
      <c r="C42" s="4">
        <v>70026</v>
      </c>
      <c r="D42" s="4"/>
      <c r="E42" s="1" t="s">
        <v>256</v>
      </c>
      <c r="F42" s="55">
        <v>12120.78</v>
      </c>
      <c r="G42" s="31" t="s">
        <v>429</v>
      </c>
      <c r="H42" s="87">
        <v>10611.82</v>
      </c>
      <c r="I42" s="93">
        <v>9156.5400000000009</v>
      </c>
      <c r="J42" s="99">
        <v>12150.54</v>
      </c>
      <c r="K42" s="96">
        <v>7425.69</v>
      </c>
      <c r="L42" s="101">
        <v>3308.65</v>
      </c>
      <c r="M42" s="105">
        <v>3439.44</v>
      </c>
      <c r="N42" s="107">
        <v>3880.76</v>
      </c>
      <c r="O42" s="112">
        <v>6288.42</v>
      </c>
      <c r="P42" s="133">
        <v>10088.07</v>
      </c>
      <c r="Q42" s="31">
        <v>11206.02</v>
      </c>
      <c r="R42" s="171">
        <v>10771.29</v>
      </c>
      <c r="S42" s="8">
        <f t="shared" si="3"/>
        <v>100448.02000000002</v>
      </c>
      <c r="T42" s="1">
        <f t="shared" si="4"/>
        <v>12</v>
      </c>
      <c r="U42" s="31">
        <f t="shared" si="5"/>
        <v>8370.6683333333349</v>
      </c>
    </row>
    <row r="43" spans="1:21">
      <c r="A43" s="1">
        <v>41</v>
      </c>
      <c r="B43" s="1" t="s">
        <v>543</v>
      </c>
      <c r="C43" s="4">
        <v>70001</v>
      </c>
      <c r="D43" s="4">
        <v>125</v>
      </c>
      <c r="E43" s="1" t="s">
        <v>386</v>
      </c>
      <c r="F43" s="101">
        <f>67260/3</f>
        <v>22420</v>
      </c>
      <c r="G43" s="31" t="s">
        <v>450</v>
      </c>
      <c r="H43" s="101">
        <f>67260/3</f>
        <v>22420</v>
      </c>
      <c r="I43" s="101">
        <f>67260/3</f>
        <v>22420</v>
      </c>
      <c r="J43" s="105">
        <v>22132.58</v>
      </c>
      <c r="K43" s="105">
        <v>22132.58</v>
      </c>
      <c r="L43" s="105">
        <v>22132.58</v>
      </c>
      <c r="M43" s="107">
        <v>12667</v>
      </c>
      <c r="N43" s="112">
        <v>16401</v>
      </c>
      <c r="O43" s="112">
        <v>22454.02</v>
      </c>
      <c r="P43" s="133">
        <v>31157</v>
      </c>
      <c r="Q43" s="31">
        <v>32494</v>
      </c>
      <c r="R43" s="171">
        <v>23512</v>
      </c>
      <c r="S43" s="8">
        <f>+SUM(F43:R43)</f>
        <v>272342.76</v>
      </c>
      <c r="T43" s="1">
        <f>COUNT(F43:R43)</f>
        <v>12</v>
      </c>
      <c r="U43" s="31">
        <f>+S43/T43</f>
        <v>22695.23</v>
      </c>
    </row>
    <row r="44" spans="1:21">
      <c r="A44" s="1">
        <v>42</v>
      </c>
      <c r="B44" s="1" t="s">
        <v>537</v>
      </c>
      <c r="C44" s="4">
        <v>70076</v>
      </c>
      <c r="D44" s="4"/>
      <c r="E44" s="1" t="s">
        <v>258</v>
      </c>
      <c r="F44" s="55">
        <v>9341.17</v>
      </c>
      <c r="G44" s="31" t="s">
        <v>458</v>
      </c>
      <c r="H44" s="87">
        <v>7932.63</v>
      </c>
      <c r="I44" s="93">
        <v>9393.27</v>
      </c>
      <c r="J44" s="99">
        <v>10589.13</v>
      </c>
      <c r="K44" s="96">
        <v>8684.73</v>
      </c>
      <c r="L44" s="105">
        <v>5325.61</v>
      </c>
      <c r="M44" s="107">
        <v>5415.65</v>
      </c>
      <c r="N44" s="107">
        <v>6027.6</v>
      </c>
      <c r="O44" s="112">
        <v>8978.99</v>
      </c>
      <c r="P44" s="133">
        <v>10919.52</v>
      </c>
      <c r="Q44" s="31">
        <v>9683.31</v>
      </c>
      <c r="R44" s="171">
        <v>9292.07</v>
      </c>
      <c r="S44" s="8">
        <f t="shared" si="3"/>
        <v>101583.67999999999</v>
      </c>
      <c r="T44" s="1">
        <f t="shared" si="4"/>
        <v>12</v>
      </c>
      <c r="U44" s="31">
        <f t="shared" si="5"/>
        <v>8465.3066666666655</v>
      </c>
    </row>
    <row r="45" spans="1:21">
      <c r="A45" s="1">
        <v>43</v>
      </c>
      <c r="B45" s="1" t="s">
        <v>537</v>
      </c>
      <c r="C45" s="4">
        <v>70062</v>
      </c>
      <c r="D45" s="4"/>
      <c r="E45" s="1" t="s">
        <v>260</v>
      </c>
      <c r="F45" s="55">
        <v>8562.7999999999993</v>
      </c>
      <c r="G45" s="31" t="s">
        <v>459</v>
      </c>
      <c r="H45" s="87">
        <v>7169.05</v>
      </c>
      <c r="I45" s="93">
        <v>8080.34</v>
      </c>
      <c r="J45" s="99">
        <v>9812.4500000000007</v>
      </c>
      <c r="K45" s="96">
        <v>8152.25</v>
      </c>
      <c r="L45" s="101">
        <v>5750.13</v>
      </c>
      <c r="M45" s="105">
        <v>5100.38</v>
      </c>
      <c r="N45" s="107">
        <v>5858.12</v>
      </c>
      <c r="O45" s="112">
        <v>7072.08</v>
      </c>
      <c r="P45" s="133">
        <v>7204.86</v>
      </c>
      <c r="Q45" s="31">
        <v>5592.23</v>
      </c>
      <c r="R45" s="171">
        <v>6678.69</v>
      </c>
      <c r="S45" s="8">
        <f t="shared" si="3"/>
        <v>85033.37999999999</v>
      </c>
      <c r="T45" s="1">
        <f t="shared" si="4"/>
        <v>12</v>
      </c>
      <c r="U45" s="31">
        <f t="shared" si="5"/>
        <v>7086.1149999999989</v>
      </c>
    </row>
    <row r="46" spans="1:21">
      <c r="A46" s="1">
        <v>44</v>
      </c>
      <c r="C46" s="4">
        <v>70063</v>
      </c>
      <c r="D46" s="4"/>
      <c r="E46" s="1" t="s">
        <v>261</v>
      </c>
      <c r="F46" s="55">
        <v>10507.32</v>
      </c>
      <c r="G46" s="31"/>
      <c r="H46" s="87">
        <v>10046.209999999999</v>
      </c>
      <c r="I46" s="93">
        <v>10594.09</v>
      </c>
      <c r="J46" s="96">
        <v>14625.27</v>
      </c>
      <c r="K46" s="96">
        <v>9551.9699999999993</v>
      </c>
      <c r="L46" s="105">
        <v>5865.49</v>
      </c>
      <c r="M46" s="107">
        <v>7455.82</v>
      </c>
      <c r="N46" s="107">
        <v>7391.43</v>
      </c>
      <c r="O46" s="112">
        <v>9975.76</v>
      </c>
      <c r="P46" s="133">
        <v>11640.64</v>
      </c>
      <c r="Q46" s="31">
        <v>10427.94</v>
      </c>
      <c r="R46" s="171">
        <v>9699.51</v>
      </c>
      <c r="S46" s="8">
        <f t="shared" si="3"/>
        <v>117781.45</v>
      </c>
      <c r="T46" s="1">
        <f t="shared" si="4"/>
        <v>12</v>
      </c>
      <c r="U46" s="31">
        <f t="shared" si="5"/>
        <v>9815.1208333333325</v>
      </c>
    </row>
    <row r="47" spans="1:21">
      <c r="A47" s="1">
        <v>45</v>
      </c>
      <c r="B47" s="1" t="s">
        <v>544</v>
      </c>
      <c r="C47" s="4">
        <v>15018015</v>
      </c>
      <c r="D47" s="4">
        <v>131</v>
      </c>
      <c r="E47" s="1" t="s">
        <v>383</v>
      </c>
      <c r="F47" s="55">
        <v>22200</v>
      </c>
      <c r="G47" s="31" t="s">
        <v>400</v>
      </c>
      <c r="H47" s="87">
        <v>29551.62</v>
      </c>
      <c r="I47" s="93">
        <v>19736.25</v>
      </c>
      <c r="J47" s="101">
        <v>16401</v>
      </c>
      <c r="K47" s="105">
        <v>21642.65</v>
      </c>
      <c r="L47" s="107">
        <v>14016.71</v>
      </c>
      <c r="M47" s="112">
        <v>6567</v>
      </c>
      <c r="N47" s="133">
        <v>8445</v>
      </c>
      <c r="O47" s="31">
        <f>14602+16615</f>
        <v>31217</v>
      </c>
      <c r="P47" s="171">
        <v>21413</v>
      </c>
      <c r="Q47" s="31"/>
      <c r="R47" s="31"/>
      <c r="S47" s="8">
        <f>+SUM(F47:R47)</f>
        <v>191190.22999999998</v>
      </c>
      <c r="T47" s="1">
        <f>COUNT(F47:R47)</f>
        <v>10</v>
      </c>
      <c r="U47" s="31">
        <f>+S47/T47</f>
        <v>19119.022999999997</v>
      </c>
    </row>
    <row r="48" spans="1:21">
      <c r="A48" s="1">
        <v>46</v>
      </c>
      <c r="B48" s="1" t="s">
        <v>545</v>
      </c>
      <c r="C48" s="164">
        <v>70027</v>
      </c>
      <c r="D48" s="4">
        <v>110</v>
      </c>
      <c r="E48" s="1" t="s">
        <v>262</v>
      </c>
      <c r="F48" s="93">
        <v>24.53</v>
      </c>
      <c r="G48" s="136"/>
      <c r="H48" s="93">
        <v>33.89</v>
      </c>
      <c r="I48" s="119"/>
      <c r="J48" s="96">
        <v>20.75</v>
      </c>
      <c r="K48" s="96">
        <v>15.1</v>
      </c>
      <c r="L48" s="105">
        <v>28.8</v>
      </c>
      <c r="M48" s="105">
        <v>35.4</v>
      </c>
      <c r="N48" s="31"/>
      <c r="O48" s="31"/>
      <c r="P48" s="31"/>
      <c r="Q48" s="31"/>
      <c r="R48" s="31"/>
      <c r="S48" s="8">
        <f t="shared" si="3"/>
        <v>158.47</v>
      </c>
      <c r="T48" s="1">
        <f t="shared" si="4"/>
        <v>6</v>
      </c>
      <c r="U48" s="31">
        <f t="shared" si="5"/>
        <v>26.411666666666665</v>
      </c>
    </row>
    <row r="49" spans="1:21">
      <c r="A49" s="1">
        <v>47</v>
      </c>
      <c r="B49" s="1" t="s">
        <v>546</v>
      </c>
      <c r="C49" s="4">
        <v>70087</v>
      </c>
      <c r="D49" s="4">
        <v>773</v>
      </c>
      <c r="E49" s="1" t="s">
        <v>109</v>
      </c>
      <c r="F49" s="55">
        <v>1122.06</v>
      </c>
      <c r="G49" s="31" t="s">
        <v>430</v>
      </c>
      <c r="H49" s="87">
        <v>635.34</v>
      </c>
      <c r="I49" s="93">
        <v>2174.7600000000002</v>
      </c>
      <c r="J49" s="99">
        <v>1443.06</v>
      </c>
      <c r="K49" s="96">
        <v>866.82</v>
      </c>
      <c r="L49" s="101">
        <v>541.79999999999995</v>
      </c>
      <c r="M49" s="105">
        <v>732.54</v>
      </c>
      <c r="N49" s="107">
        <v>456.48</v>
      </c>
      <c r="O49" s="112">
        <v>479.4</v>
      </c>
      <c r="P49" s="133">
        <v>1462.86</v>
      </c>
      <c r="Q49" s="31">
        <v>1856.94</v>
      </c>
      <c r="R49" s="171">
        <v>975</v>
      </c>
      <c r="S49" s="8">
        <f t="shared" si="3"/>
        <v>12747.060000000001</v>
      </c>
      <c r="T49" s="1">
        <f t="shared" si="4"/>
        <v>12</v>
      </c>
      <c r="U49" s="31">
        <f t="shared" si="5"/>
        <v>1062.2550000000001</v>
      </c>
    </row>
    <row r="50" spans="1:21">
      <c r="A50" s="1">
        <v>48</v>
      </c>
      <c r="B50" s="1" t="s">
        <v>532</v>
      </c>
      <c r="C50" s="4">
        <v>7002901</v>
      </c>
      <c r="D50" s="4">
        <v>121</v>
      </c>
      <c r="E50" s="1" t="s">
        <v>263</v>
      </c>
      <c r="F50" s="55">
        <v>3084.78</v>
      </c>
      <c r="G50" s="31" t="s">
        <v>447</v>
      </c>
      <c r="H50" s="87">
        <v>2380.65</v>
      </c>
      <c r="I50" s="93">
        <v>2433.39</v>
      </c>
      <c r="J50" s="99">
        <v>3041.84</v>
      </c>
      <c r="K50" s="96">
        <v>1981.33</v>
      </c>
      <c r="L50" s="101">
        <v>1458.09</v>
      </c>
      <c r="M50" s="105">
        <v>1721.6</v>
      </c>
      <c r="N50" s="107">
        <v>1829</v>
      </c>
      <c r="O50" s="112">
        <v>2186.0700000000002</v>
      </c>
      <c r="P50" s="133">
        <v>3061.22</v>
      </c>
      <c r="Q50" s="31">
        <v>2880.78</v>
      </c>
      <c r="R50" s="171">
        <v>2990.46</v>
      </c>
      <c r="S50" s="8">
        <f t="shared" si="3"/>
        <v>29049.21</v>
      </c>
      <c r="T50" s="1">
        <f t="shared" si="4"/>
        <v>12</v>
      </c>
      <c r="U50" s="31">
        <f t="shared" si="5"/>
        <v>2420.7674999999999</v>
      </c>
    </row>
    <row r="51" spans="1:21">
      <c r="A51" s="1">
        <v>49</v>
      </c>
      <c r="B51" s="1" t="s">
        <v>531</v>
      </c>
      <c r="C51" s="4">
        <v>70088</v>
      </c>
      <c r="D51" s="4">
        <v>534</v>
      </c>
      <c r="E51" s="1" t="s">
        <v>88</v>
      </c>
      <c r="F51" s="55">
        <v>672.17</v>
      </c>
      <c r="G51" s="31" t="s">
        <v>431</v>
      </c>
      <c r="H51" s="87">
        <v>417.02</v>
      </c>
      <c r="I51" s="93">
        <v>807.64</v>
      </c>
      <c r="J51" s="99">
        <v>1304.96</v>
      </c>
      <c r="K51" s="96">
        <v>576.09</v>
      </c>
      <c r="L51" s="101">
        <v>186.3</v>
      </c>
      <c r="M51" s="105">
        <v>152.66999999999999</v>
      </c>
      <c r="N51" s="107">
        <v>496.73</v>
      </c>
      <c r="O51" s="112">
        <v>496.73</v>
      </c>
      <c r="P51" s="133">
        <v>1039</v>
      </c>
      <c r="Q51" s="171">
        <v>1158.25</v>
      </c>
      <c r="R51" s="171">
        <v>369.81</v>
      </c>
      <c r="S51" s="8">
        <f t="shared" si="3"/>
        <v>7677.37</v>
      </c>
      <c r="T51" s="1">
        <f t="shared" si="4"/>
        <v>12</v>
      </c>
      <c r="U51" s="31">
        <f t="shared" si="5"/>
        <v>639.78083333333336</v>
      </c>
    </row>
    <row r="52" spans="1:21">
      <c r="A52" s="1">
        <v>50</v>
      </c>
      <c r="B52" s="1" t="s">
        <v>540</v>
      </c>
      <c r="C52" s="4">
        <v>10288600</v>
      </c>
      <c r="D52" s="4">
        <v>134</v>
      </c>
      <c r="E52" s="1" t="s">
        <v>264</v>
      </c>
      <c r="F52" s="55">
        <f>80747.94+54448.79</f>
        <v>135196.73000000001</v>
      </c>
      <c r="G52" s="31" t="s">
        <v>432</v>
      </c>
      <c r="H52" s="87">
        <f>52581.21</f>
        <v>52581.21</v>
      </c>
      <c r="I52" s="93">
        <v>68996.070000000007</v>
      </c>
      <c r="J52" s="99">
        <v>80972.639999999999</v>
      </c>
      <c r="K52" s="96">
        <v>51554.01</v>
      </c>
      <c r="L52" s="101">
        <v>25133.77</v>
      </c>
      <c r="M52" s="105">
        <v>27787.31</v>
      </c>
      <c r="N52" s="107">
        <v>39395.879999999997</v>
      </c>
      <c r="O52" s="112">
        <v>45480.92</v>
      </c>
      <c r="P52" s="133">
        <v>55378.76</v>
      </c>
      <c r="Q52" s="31">
        <f>83789.38+64781.73</f>
        <v>148571.11000000002</v>
      </c>
      <c r="R52" s="171">
        <v>54677.93</v>
      </c>
      <c r="S52" s="8">
        <f t="shared" si="3"/>
        <v>785726.34000000008</v>
      </c>
      <c r="T52" s="1">
        <f t="shared" si="4"/>
        <v>12</v>
      </c>
      <c r="U52" s="31">
        <f t="shared" si="5"/>
        <v>65477.195000000007</v>
      </c>
    </row>
    <row r="53" spans="1:21">
      <c r="A53" s="1">
        <v>51</v>
      </c>
      <c r="B53" s="1" t="s">
        <v>533</v>
      </c>
      <c r="C53" s="4">
        <v>15013835</v>
      </c>
      <c r="D53" s="4">
        <v>4129</v>
      </c>
      <c r="E53" s="1" t="s">
        <v>331</v>
      </c>
      <c r="F53" s="55">
        <v>4876.9799999999996</v>
      </c>
      <c r="G53" s="31" t="s">
        <v>433</v>
      </c>
      <c r="H53" s="87">
        <v>4918</v>
      </c>
      <c r="I53" s="93">
        <v>4901.78</v>
      </c>
      <c r="J53" s="99">
        <v>5201.8100000000004</v>
      </c>
      <c r="K53" s="96">
        <v>4766.75</v>
      </c>
      <c r="L53" s="101">
        <v>3944</v>
      </c>
      <c r="M53" s="105">
        <v>4216.8</v>
      </c>
      <c r="N53" s="107">
        <v>4320.0600000000004</v>
      </c>
      <c r="O53" s="112">
        <v>5088.72</v>
      </c>
      <c r="P53" s="133">
        <v>4787.28</v>
      </c>
      <c r="Q53" s="31">
        <v>4873.26</v>
      </c>
      <c r="R53" s="171">
        <v>5210.88</v>
      </c>
      <c r="S53" s="8">
        <f t="shared" si="3"/>
        <v>57106.32</v>
      </c>
      <c r="T53" s="1">
        <f t="shared" si="4"/>
        <v>12</v>
      </c>
      <c r="U53" s="31">
        <f t="shared" si="5"/>
        <v>4758.8599999999997</v>
      </c>
    </row>
    <row r="54" spans="1:21">
      <c r="A54" s="1">
        <v>52</v>
      </c>
      <c r="B54" s="1" t="s">
        <v>532</v>
      </c>
      <c r="C54" s="4">
        <v>7005102</v>
      </c>
      <c r="D54" s="4">
        <v>111</v>
      </c>
      <c r="E54" s="1" t="s">
        <v>265</v>
      </c>
      <c r="F54" s="55">
        <v>6551.83</v>
      </c>
      <c r="G54" s="31" t="s">
        <v>434</v>
      </c>
      <c r="H54" s="87">
        <v>6045.2</v>
      </c>
      <c r="I54" s="93">
        <v>6298.75</v>
      </c>
      <c r="J54" s="99">
        <v>6893.22</v>
      </c>
      <c r="K54" s="96">
        <v>4751.5</v>
      </c>
      <c r="L54" s="101">
        <v>4765.3900000000003</v>
      </c>
      <c r="M54" s="105">
        <v>4336.26</v>
      </c>
      <c r="N54" s="107">
        <v>5199.5</v>
      </c>
      <c r="O54" s="112">
        <v>6396.54</v>
      </c>
      <c r="P54" s="133">
        <v>7232.01</v>
      </c>
      <c r="Q54" s="31">
        <v>7027.88</v>
      </c>
      <c r="R54" s="171">
        <v>7433.24</v>
      </c>
      <c r="S54" s="8">
        <f t="shared" si="3"/>
        <v>72931.320000000007</v>
      </c>
      <c r="T54" s="1">
        <f t="shared" si="4"/>
        <v>12</v>
      </c>
      <c r="U54" s="31">
        <f t="shared" si="5"/>
        <v>6077.6100000000006</v>
      </c>
    </row>
    <row r="55" spans="1:21">
      <c r="A55" s="1">
        <v>53</v>
      </c>
      <c r="C55" s="4">
        <v>70055</v>
      </c>
      <c r="D55" s="4">
        <v>112</v>
      </c>
      <c r="E55" s="1" t="s">
        <v>266</v>
      </c>
      <c r="F55" s="55">
        <v>6121.13</v>
      </c>
      <c r="G55" s="31" t="s">
        <v>435</v>
      </c>
      <c r="H55" s="87">
        <v>5880.08</v>
      </c>
      <c r="I55" s="93">
        <v>5115.28</v>
      </c>
      <c r="J55" s="99">
        <v>5409.13</v>
      </c>
      <c r="K55" s="96">
        <v>4268.16</v>
      </c>
      <c r="L55" s="101">
        <v>4121.34</v>
      </c>
      <c r="M55" s="105">
        <v>3566.99</v>
      </c>
      <c r="N55" s="107">
        <v>3999.59</v>
      </c>
      <c r="O55" s="112">
        <v>5034.62</v>
      </c>
      <c r="P55" s="133">
        <v>5941.07</v>
      </c>
      <c r="Q55" s="31">
        <v>5811.68</v>
      </c>
      <c r="R55" s="171">
        <v>5723.84</v>
      </c>
      <c r="S55" s="8">
        <f t="shared" si="3"/>
        <v>60992.91</v>
      </c>
      <c r="T55" s="1">
        <f t="shared" si="4"/>
        <v>12</v>
      </c>
      <c r="U55" s="31">
        <f t="shared" si="5"/>
        <v>5082.7425000000003</v>
      </c>
    </row>
    <row r="56" spans="1:21">
      <c r="A56" s="1">
        <v>54</v>
      </c>
      <c r="B56" s="1" t="s">
        <v>535</v>
      </c>
      <c r="C56" s="4">
        <v>7003101</v>
      </c>
      <c r="D56" s="4">
        <v>113</v>
      </c>
      <c r="E56" s="1" t="s">
        <v>267</v>
      </c>
      <c r="F56" s="55">
        <v>969.36</v>
      </c>
      <c r="G56" s="31" t="s">
        <v>436</v>
      </c>
      <c r="H56" s="87">
        <v>987.46</v>
      </c>
      <c r="I56" s="93">
        <v>871.99</v>
      </c>
      <c r="J56" s="99">
        <v>811.71</v>
      </c>
      <c r="K56" s="96">
        <v>780.47</v>
      </c>
      <c r="L56" s="101">
        <v>636.99</v>
      </c>
      <c r="M56" s="105">
        <v>477.61</v>
      </c>
      <c r="N56" s="107">
        <v>775.44</v>
      </c>
      <c r="O56" s="112">
        <v>1205.3900000000001</v>
      </c>
      <c r="P56" s="133">
        <v>1098.53</v>
      </c>
      <c r="Q56" s="31">
        <v>959.72</v>
      </c>
      <c r="R56" s="171">
        <v>925.98</v>
      </c>
      <c r="S56" s="8">
        <f t="shared" si="3"/>
        <v>10500.65</v>
      </c>
      <c r="T56" s="1">
        <f t="shared" si="4"/>
        <v>12</v>
      </c>
      <c r="U56" s="31">
        <f t="shared" si="5"/>
        <v>875.05416666666667</v>
      </c>
    </row>
    <row r="57" spans="1:21">
      <c r="A57" s="1">
        <v>55</v>
      </c>
      <c r="B57" s="1" t="s">
        <v>535</v>
      </c>
      <c r="C57" s="4">
        <v>7008901</v>
      </c>
      <c r="D57" s="4">
        <v>135</v>
      </c>
      <c r="E57" s="1" t="s">
        <v>268</v>
      </c>
      <c r="F57" s="55">
        <v>6067.68</v>
      </c>
      <c r="G57" s="31" t="s">
        <v>437</v>
      </c>
      <c r="H57" s="87">
        <v>4479.8999999999996</v>
      </c>
      <c r="I57" s="93">
        <v>4980.54</v>
      </c>
      <c r="J57" s="99">
        <v>6150.18</v>
      </c>
      <c r="K57" s="96">
        <v>3550.46</v>
      </c>
      <c r="L57" s="101">
        <v>2375.58</v>
      </c>
      <c r="M57" s="105">
        <v>2142.7199999999998</v>
      </c>
      <c r="N57" s="112">
        <v>2386.98</v>
      </c>
      <c r="O57" s="112">
        <v>3899.76</v>
      </c>
      <c r="P57" s="133">
        <v>6085.8</v>
      </c>
      <c r="Q57" s="31">
        <v>4609.92</v>
      </c>
      <c r="R57" s="171">
        <v>4915.08</v>
      </c>
      <c r="S57" s="8">
        <f t="shared" si="3"/>
        <v>51644.6</v>
      </c>
      <c r="T57" s="1">
        <f t="shared" si="4"/>
        <v>12</v>
      </c>
      <c r="U57" s="31">
        <f t="shared" si="5"/>
        <v>4303.7166666666662</v>
      </c>
    </row>
    <row r="58" spans="1:21">
      <c r="A58" s="1">
        <v>56</v>
      </c>
      <c r="C58" s="4">
        <v>15020408</v>
      </c>
      <c r="D58" s="4"/>
      <c r="E58" s="1" t="s">
        <v>367</v>
      </c>
      <c r="F58" s="60">
        <v>174.84</v>
      </c>
      <c r="G58" s="32"/>
      <c r="H58" s="148">
        <v>183.87</v>
      </c>
      <c r="I58" s="149">
        <v>199.64</v>
      </c>
      <c r="J58" s="150">
        <v>181.21</v>
      </c>
      <c r="K58" s="120"/>
      <c r="L58" s="124"/>
      <c r="M58" s="127"/>
      <c r="N58" s="128"/>
      <c r="O58" s="130"/>
      <c r="P58" s="165">
        <v>272.85000000000002</v>
      </c>
      <c r="Q58" s="32">
        <v>230.05</v>
      </c>
      <c r="R58" s="172">
        <v>161.1</v>
      </c>
      <c r="S58" s="8">
        <f>+SUM(F58:R58)</f>
        <v>1403.56</v>
      </c>
      <c r="T58" s="1">
        <f>COUNT(F58:R58)</f>
        <v>7</v>
      </c>
      <c r="U58" s="31">
        <f>+S58/T58</f>
        <v>200.50857142857143</v>
      </c>
    </row>
    <row r="59" spans="1:21">
      <c r="A59" s="1">
        <v>57</v>
      </c>
      <c r="B59" s="1" t="s">
        <v>538</v>
      </c>
      <c r="C59" s="4">
        <v>7001502</v>
      </c>
      <c r="D59" s="4">
        <v>128</v>
      </c>
      <c r="E59" s="1" t="s">
        <v>270</v>
      </c>
      <c r="F59" s="55">
        <v>6087.56</v>
      </c>
      <c r="G59" s="31" t="s">
        <v>451</v>
      </c>
      <c r="H59" s="87">
        <v>4341.82</v>
      </c>
      <c r="I59" s="93">
        <v>5072.2700000000004</v>
      </c>
      <c r="J59" s="99">
        <v>6759.48</v>
      </c>
      <c r="K59" s="96">
        <v>3617.42</v>
      </c>
      <c r="L59" s="101">
        <v>1722.9</v>
      </c>
      <c r="M59" s="105">
        <v>2596.36</v>
      </c>
      <c r="N59" s="107">
        <v>3062.33</v>
      </c>
      <c r="O59" s="112">
        <v>4330.72</v>
      </c>
      <c r="P59" s="133">
        <v>7439.92</v>
      </c>
      <c r="Q59" s="31">
        <v>6789.93</v>
      </c>
      <c r="R59" s="171">
        <v>6815.35</v>
      </c>
      <c r="S59" s="8">
        <f t="shared" si="3"/>
        <v>58636.060000000005</v>
      </c>
      <c r="T59" s="1">
        <f t="shared" si="4"/>
        <v>12</v>
      </c>
      <c r="U59" s="31">
        <f t="shared" si="5"/>
        <v>4886.338333333334</v>
      </c>
    </row>
    <row r="60" spans="1:21">
      <c r="A60" s="1">
        <v>58</v>
      </c>
      <c r="B60" s="1" t="s">
        <v>532</v>
      </c>
      <c r="C60" s="4">
        <v>70084</v>
      </c>
      <c r="D60" s="4">
        <v>209</v>
      </c>
      <c r="E60" s="1" t="s">
        <v>271</v>
      </c>
      <c r="F60" s="55">
        <v>5309.57</v>
      </c>
      <c r="G60" s="31" t="s">
        <v>438</v>
      </c>
      <c r="H60" s="87">
        <v>3823.83</v>
      </c>
      <c r="I60" s="93">
        <v>3533.35</v>
      </c>
      <c r="J60" s="99">
        <v>4002.06</v>
      </c>
      <c r="K60" s="96">
        <v>3006.44</v>
      </c>
      <c r="L60" s="101">
        <v>2999.24</v>
      </c>
      <c r="M60" s="105">
        <v>2850.08</v>
      </c>
      <c r="N60" s="107">
        <v>3085.24</v>
      </c>
      <c r="O60" s="112">
        <v>3744.84</v>
      </c>
      <c r="P60" s="133">
        <v>4482.1000000000004</v>
      </c>
      <c r="Q60" s="31">
        <v>3492.66</v>
      </c>
      <c r="R60" s="171">
        <v>3947.84</v>
      </c>
      <c r="S60" s="8">
        <f t="shared" si="3"/>
        <v>44277.25</v>
      </c>
      <c r="T60" s="1">
        <f t="shared" si="4"/>
        <v>12</v>
      </c>
      <c r="U60" s="31">
        <f t="shared" si="5"/>
        <v>3689.7708333333335</v>
      </c>
    </row>
    <row r="61" spans="1:21">
      <c r="A61" s="1">
        <v>59</v>
      </c>
      <c r="C61" s="164">
        <v>15012301</v>
      </c>
      <c r="D61" s="4"/>
      <c r="E61" s="1" t="s">
        <v>323</v>
      </c>
      <c r="F61" s="55">
        <f>194.25+151.74</f>
        <v>345.99</v>
      </c>
      <c r="G61" s="136"/>
      <c r="H61" s="87">
        <v>185.09</v>
      </c>
      <c r="I61" s="156">
        <v>342.48</v>
      </c>
      <c r="J61" s="156">
        <v>307.29000000000002</v>
      </c>
      <c r="K61" s="120"/>
      <c r="L61" s="124"/>
      <c r="M61" s="127"/>
      <c r="N61" s="128"/>
      <c r="O61" s="130"/>
      <c r="P61" s="134"/>
      <c r="Q61" s="136"/>
      <c r="R61" s="173"/>
      <c r="S61" s="8">
        <f t="shared" si="3"/>
        <v>1180.8500000000001</v>
      </c>
      <c r="T61" s="1">
        <f t="shared" si="4"/>
        <v>4</v>
      </c>
      <c r="U61" s="31">
        <f t="shared" si="5"/>
        <v>295.21250000000003</v>
      </c>
    </row>
    <row r="62" spans="1:21">
      <c r="A62" s="1">
        <v>60</v>
      </c>
      <c r="B62" s="1" t="s">
        <v>538</v>
      </c>
      <c r="C62" s="4">
        <v>15007129</v>
      </c>
      <c r="D62" s="4"/>
      <c r="E62" s="1" t="s">
        <v>273</v>
      </c>
      <c r="F62" s="55">
        <v>6385.22</v>
      </c>
      <c r="G62" s="31" t="s">
        <v>439</v>
      </c>
      <c r="H62" s="87">
        <v>5482.99</v>
      </c>
      <c r="I62" s="93">
        <v>7703.14</v>
      </c>
      <c r="J62" s="99">
        <v>5905.09</v>
      </c>
      <c r="K62" s="96">
        <v>4092.4</v>
      </c>
      <c r="L62" s="101">
        <v>4905.43</v>
      </c>
      <c r="M62" s="105">
        <v>3668.84</v>
      </c>
      <c r="N62" s="107">
        <v>4336.0600000000004</v>
      </c>
      <c r="O62" s="112">
        <v>5134.66</v>
      </c>
      <c r="P62" s="133">
        <v>6053.22</v>
      </c>
      <c r="Q62" s="31">
        <v>5925.6</v>
      </c>
      <c r="R62" s="171">
        <v>6500.23</v>
      </c>
      <c r="S62" s="8">
        <f t="shared" si="3"/>
        <v>66092.88</v>
      </c>
      <c r="T62" s="1">
        <f t="shared" si="4"/>
        <v>12</v>
      </c>
      <c r="U62" s="31">
        <f t="shared" si="5"/>
        <v>5507.7400000000007</v>
      </c>
    </row>
    <row r="63" spans="1:21">
      <c r="A63" s="1">
        <v>61</v>
      </c>
      <c r="B63" s="1" t="s">
        <v>541</v>
      </c>
      <c r="C63" s="4">
        <v>15013110</v>
      </c>
      <c r="D63" s="4"/>
      <c r="E63" s="1" t="s">
        <v>272</v>
      </c>
      <c r="F63" s="60">
        <v>7903.87</v>
      </c>
      <c r="G63" s="32" t="s">
        <v>440</v>
      </c>
      <c r="H63" s="148">
        <v>7007.16</v>
      </c>
      <c r="I63" s="149">
        <v>5189.18</v>
      </c>
      <c r="J63" s="150">
        <v>7853.95</v>
      </c>
      <c r="K63" s="152">
        <v>6262.24</v>
      </c>
      <c r="L63" s="155">
        <v>3671.58</v>
      </c>
      <c r="M63" s="156">
        <v>5124.7</v>
      </c>
      <c r="N63" s="157">
        <v>5742.68</v>
      </c>
      <c r="O63" s="161">
        <v>6750.9</v>
      </c>
      <c r="P63" s="165">
        <v>7834.48</v>
      </c>
      <c r="Q63" s="32">
        <v>7393.59</v>
      </c>
      <c r="R63" s="172">
        <v>5627.54</v>
      </c>
      <c r="S63" s="8">
        <f t="shared" si="3"/>
        <v>76361.87</v>
      </c>
      <c r="T63" s="1">
        <f t="shared" si="4"/>
        <v>12</v>
      </c>
      <c r="U63" s="31">
        <f t="shared" si="5"/>
        <v>6363.4891666666663</v>
      </c>
    </row>
    <row r="64" spans="1:21">
      <c r="A64" s="1">
        <v>62</v>
      </c>
      <c r="B64" s="1" t="s">
        <v>535</v>
      </c>
      <c r="C64" s="4">
        <v>7004001</v>
      </c>
      <c r="D64" s="4">
        <v>116</v>
      </c>
      <c r="E64" s="1" t="s">
        <v>277</v>
      </c>
      <c r="F64" s="60">
        <v>13210.36</v>
      </c>
      <c r="G64" s="32"/>
      <c r="H64" s="148">
        <v>13510.34</v>
      </c>
      <c r="I64" s="149">
        <v>12881.94</v>
      </c>
      <c r="J64" s="150">
        <v>12921.5</v>
      </c>
      <c r="K64" s="152">
        <v>10977.21</v>
      </c>
      <c r="L64" s="155">
        <v>5929.59</v>
      </c>
      <c r="M64" s="156">
        <v>6638.13</v>
      </c>
      <c r="N64" s="157">
        <v>9979.83</v>
      </c>
      <c r="O64" s="161">
        <v>12864.18</v>
      </c>
      <c r="P64" s="165">
        <v>19928.11</v>
      </c>
      <c r="Q64" s="32">
        <v>14705.29</v>
      </c>
      <c r="R64" s="172">
        <v>13280.43</v>
      </c>
      <c r="S64" s="8">
        <f t="shared" si="3"/>
        <v>146826.91</v>
      </c>
      <c r="T64" s="1">
        <f>COUNT(F64:R64)</f>
        <v>12</v>
      </c>
      <c r="U64" s="31">
        <f>+S64/T64</f>
        <v>12235.575833333334</v>
      </c>
    </row>
    <row r="65" spans="1:21">
      <c r="A65" s="1">
        <v>63</v>
      </c>
      <c r="B65" s="1" t="s">
        <v>537</v>
      </c>
      <c r="C65" s="4">
        <v>15020277</v>
      </c>
      <c r="D65" s="4"/>
      <c r="E65" s="1" t="s">
        <v>364</v>
      </c>
      <c r="F65" s="60">
        <v>18124.330000000002</v>
      </c>
      <c r="G65" s="32" t="s">
        <v>441</v>
      </c>
      <c r="H65" s="148">
        <v>16891.41</v>
      </c>
      <c r="I65" s="149">
        <v>16185.14</v>
      </c>
      <c r="J65" s="150">
        <v>19075.53</v>
      </c>
      <c r="K65" s="152">
        <v>17176.95</v>
      </c>
      <c r="L65" s="155">
        <v>12415.49</v>
      </c>
      <c r="M65" s="156">
        <v>13339.86</v>
      </c>
      <c r="N65" s="157">
        <v>14205.9</v>
      </c>
      <c r="O65" s="161">
        <v>16117.62</v>
      </c>
      <c r="P65" s="165">
        <v>13375.21</v>
      </c>
      <c r="Q65" s="32">
        <v>18381.45</v>
      </c>
      <c r="R65" s="172">
        <v>16642.68</v>
      </c>
      <c r="S65" s="8">
        <f t="shared" si="3"/>
        <v>191931.57</v>
      </c>
      <c r="T65" s="1">
        <f>COUNT(F65:R65)</f>
        <v>12</v>
      </c>
      <c r="U65" s="31">
        <f>+S65/T65</f>
        <v>15994.297500000001</v>
      </c>
    </row>
    <row r="66" spans="1:21">
      <c r="A66" s="1">
        <v>64</v>
      </c>
      <c r="B66" s="1" t="s">
        <v>530</v>
      </c>
      <c r="C66" s="4">
        <v>15021222</v>
      </c>
      <c r="D66" s="4">
        <v>556</v>
      </c>
      <c r="E66" s="1" t="s">
        <v>90</v>
      </c>
      <c r="F66" s="60">
        <v>16482.73</v>
      </c>
      <c r="G66" s="32" t="s">
        <v>442</v>
      </c>
      <c r="H66" s="148">
        <v>15178.85</v>
      </c>
      <c r="I66" s="149">
        <v>14125.79</v>
      </c>
      <c r="J66" s="150">
        <v>15332.67</v>
      </c>
      <c r="K66" s="152">
        <v>12601.79</v>
      </c>
      <c r="L66" s="155">
        <v>9148.85</v>
      </c>
      <c r="M66" s="156">
        <v>9963.4599999999991</v>
      </c>
      <c r="N66" s="157">
        <v>10611.26</v>
      </c>
      <c r="O66" s="161">
        <v>14216.87</v>
      </c>
      <c r="P66" s="165">
        <v>15308.84</v>
      </c>
      <c r="Q66" s="32">
        <v>14946.34</v>
      </c>
      <c r="R66" s="172">
        <v>15319.45</v>
      </c>
      <c r="S66" s="8">
        <f t="shared" si="3"/>
        <v>163236.90000000002</v>
      </c>
      <c r="T66" s="1">
        <f t="shared" ref="T66:T74" si="6">COUNT(F66:R66)</f>
        <v>12</v>
      </c>
      <c r="U66" s="31">
        <f t="shared" ref="U66:U74" si="7">+S66/T66</f>
        <v>13603.075000000003</v>
      </c>
    </row>
    <row r="67" spans="1:21">
      <c r="A67" s="1">
        <v>65</v>
      </c>
      <c r="B67" s="1" t="s">
        <v>539</v>
      </c>
      <c r="C67" s="4">
        <v>15005530</v>
      </c>
      <c r="D67" s="4">
        <v>107</v>
      </c>
      <c r="E67" s="1" t="s">
        <v>278</v>
      </c>
      <c r="F67" s="55">
        <v>675.14</v>
      </c>
      <c r="G67" s="31" t="s">
        <v>401</v>
      </c>
      <c r="H67" s="87">
        <v>899.43</v>
      </c>
      <c r="I67" s="93">
        <v>914.52</v>
      </c>
      <c r="J67" s="99">
        <v>1360.37</v>
      </c>
      <c r="K67" s="96">
        <v>949.23</v>
      </c>
      <c r="L67" s="101">
        <v>573.16999999999996</v>
      </c>
      <c r="M67" s="105">
        <v>632.24</v>
      </c>
      <c r="N67" s="107">
        <v>470.19</v>
      </c>
      <c r="O67" s="112">
        <v>964.32</v>
      </c>
      <c r="P67" s="133">
        <v>1825.02</v>
      </c>
      <c r="Q67" s="31">
        <v>940.15</v>
      </c>
      <c r="R67" s="171">
        <v>1062.1300000000001</v>
      </c>
      <c r="S67" s="8">
        <f t="shared" si="3"/>
        <v>11265.91</v>
      </c>
      <c r="T67" s="1">
        <f t="shared" si="6"/>
        <v>12</v>
      </c>
      <c r="U67" s="31">
        <f t="shared" si="7"/>
        <v>938.82583333333332</v>
      </c>
    </row>
    <row r="68" spans="1:21">
      <c r="A68" s="1">
        <v>66</v>
      </c>
      <c r="B68" s="1" t="s">
        <v>530</v>
      </c>
      <c r="C68" s="42">
        <v>70080</v>
      </c>
      <c r="D68" s="42">
        <v>118</v>
      </c>
      <c r="E68" s="11" t="s">
        <v>280</v>
      </c>
      <c r="F68" s="55">
        <v>3786.63</v>
      </c>
      <c r="G68" s="31" t="s">
        <v>443</v>
      </c>
      <c r="H68" s="87">
        <v>4171.54</v>
      </c>
      <c r="I68" s="93">
        <v>4077.56</v>
      </c>
      <c r="J68" s="99">
        <v>4512.13</v>
      </c>
      <c r="K68" s="96">
        <v>2712.06</v>
      </c>
      <c r="L68" s="101">
        <v>3240.21</v>
      </c>
      <c r="M68" s="105">
        <v>2077.11</v>
      </c>
      <c r="N68" s="107">
        <v>2702.28</v>
      </c>
      <c r="O68" s="112">
        <v>2595</v>
      </c>
      <c r="P68" s="133">
        <v>4830.1499999999996</v>
      </c>
      <c r="Q68" s="31">
        <v>5060.3</v>
      </c>
      <c r="R68" s="171">
        <v>3432.16</v>
      </c>
      <c r="S68" s="8">
        <f t="shared" ref="S68:S80" si="8">+SUM(F68:R68)</f>
        <v>43197.130000000005</v>
      </c>
      <c r="T68" s="1">
        <f t="shared" si="6"/>
        <v>12</v>
      </c>
      <c r="U68" s="31">
        <f t="shared" si="7"/>
        <v>3599.7608333333337</v>
      </c>
    </row>
    <row r="69" spans="1:21">
      <c r="A69" s="1">
        <v>67</v>
      </c>
      <c r="B69" s="1" t="s">
        <v>548</v>
      </c>
      <c r="C69" s="4">
        <v>70046</v>
      </c>
      <c r="D69" s="4">
        <v>119</v>
      </c>
      <c r="E69" s="1" t="s">
        <v>281</v>
      </c>
      <c r="F69" s="55">
        <v>627.6</v>
      </c>
      <c r="G69" s="31" t="s">
        <v>444</v>
      </c>
      <c r="H69" s="87">
        <v>851.09</v>
      </c>
      <c r="I69" s="93">
        <v>784.8</v>
      </c>
      <c r="J69" s="99">
        <v>593.4</v>
      </c>
      <c r="K69" s="96">
        <v>632.04</v>
      </c>
      <c r="L69" s="101">
        <v>480.48</v>
      </c>
      <c r="M69" s="105">
        <v>534.12</v>
      </c>
      <c r="N69" s="107">
        <v>371.64</v>
      </c>
      <c r="O69" s="112">
        <v>332.52</v>
      </c>
      <c r="P69" s="133">
        <v>355.74</v>
      </c>
      <c r="Q69" s="31">
        <v>432.78</v>
      </c>
      <c r="R69" s="171">
        <v>494.28</v>
      </c>
      <c r="S69" s="8">
        <f t="shared" si="8"/>
        <v>6490.49</v>
      </c>
      <c r="T69" s="1">
        <f t="shared" si="6"/>
        <v>12</v>
      </c>
      <c r="U69" s="31">
        <f t="shared" si="7"/>
        <v>540.87416666666661</v>
      </c>
    </row>
    <row r="70" spans="1:21">
      <c r="A70" s="1">
        <v>68</v>
      </c>
      <c r="B70" s="1" t="s">
        <v>543</v>
      </c>
      <c r="C70" s="4">
        <v>15021222</v>
      </c>
      <c r="D70" s="4">
        <v>568</v>
      </c>
      <c r="E70" s="1" t="s">
        <v>91</v>
      </c>
      <c r="F70" s="55">
        <v>18104.16</v>
      </c>
      <c r="G70" s="31" t="s">
        <v>445</v>
      </c>
      <c r="H70" s="87">
        <v>14997.69</v>
      </c>
      <c r="I70" s="93">
        <v>14227.05</v>
      </c>
      <c r="J70" s="99">
        <v>18513.38</v>
      </c>
      <c r="K70" s="96">
        <v>12638.68</v>
      </c>
      <c r="L70" s="101">
        <v>7778.73</v>
      </c>
      <c r="M70" s="105">
        <v>9913.69</v>
      </c>
      <c r="N70" s="107">
        <v>10619.51</v>
      </c>
      <c r="O70" s="112">
        <v>13279.21</v>
      </c>
      <c r="P70" s="133">
        <v>16956.91</v>
      </c>
      <c r="Q70" s="31">
        <v>11871.55</v>
      </c>
      <c r="R70" s="171">
        <v>10779.77</v>
      </c>
      <c r="S70" s="8">
        <f t="shared" si="8"/>
        <v>159680.32999999996</v>
      </c>
      <c r="T70" s="1">
        <f t="shared" si="6"/>
        <v>12</v>
      </c>
      <c r="U70" s="31">
        <f t="shared" si="7"/>
        <v>13306.694166666663</v>
      </c>
    </row>
    <row r="71" spans="1:21">
      <c r="A71" s="1">
        <v>69</v>
      </c>
      <c r="C71" s="164">
        <v>70054</v>
      </c>
      <c r="D71" s="4"/>
      <c r="E71" s="1" t="s">
        <v>282</v>
      </c>
      <c r="F71" s="114"/>
      <c r="G71" s="136"/>
      <c r="H71" s="116"/>
      <c r="I71" s="119"/>
      <c r="J71" s="123"/>
      <c r="K71" s="120"/>
      <c r="L71" s="124"/>
      <c r="M71" s="127"/>
      <c r="N71" s="128"/>
      <c r="O71" s="130"/>
      <c r="P71" s="134"/>
      <c r="Q71" s="136"/>
      <c r="R71" s="173"/>
      <c r="S71" s="8">
        <f t="shared" si="8"/>
        <v>0</v>
      </c>
      <c r="T71" s="1">
        <f t="shared" si="6"/>
        <v>0</v>
      </c>
      <c r="U71" s="31" t="e">
        <f t="shared" si="7"/>
        <v>#DIV/0!</v>
      </c>
    </row>
    <row r="72" spans="1:21">
      <c r="A72" s="1">
        <v>70</v>
      </c>
      <c r="B72" s="1" t="s">
        <v>530</v>
      </c>
      <c r="C72" s="4">
        <v>13032900</v>
      </c>
      <c r="D72" s="4"/>
      <c r="E72" s="1" t="s">
        <v>368</v>
      </c>
      <c r="F72" s="60">
        <v>66</v>
      </c>
      <c r="G72" s="32"/>
      <c r="H72" s="148">
        <v>69.599999999999994</v>
      </c>
      <c r="I72" s="150">
        <v>196.5</v>
      </c>
      <c r="J72" s="150">
        <v>88.5</v>
      </c>
      <c r="K72" s="152">
        <v>29.7</v>
      </c>
      <c r="L72" s="155">
        <v>67.5</v>
      </c>
      <c r="M72" s="156">
        <v>99.36</v>
      </c>
      <c r="N72" s="157">
        <v>154.80000000000001</v>
      </c>
      <c r="O72" s="161">
        <v>39.82</v>
      </c>
      <c r="P72" s="165">
        <v>46.46</v>
      </c>
      <c r="Q72" s="32">
        <v>76.5</v>
      </c>
      <c r="R72" s="172">
        <v>125.52</v>
      </c>
      <c r="S72" s="8">
        <f>+SUM(F72:R72)</f>
        <v>1060.2600000000002</v>
      </c>
      <c r="T72" s="1">
        <f>COUNT(F72:R72)</f>
        <v>12</v>
      </c>
      <c r="U72" s="31">
        <f>+S72/T72</f>
        <v>88.355000000000018</v>
      </c>
    </row>
    <row r="73" spans="1:21">
      <c r="A73" s="1">
        <v>71</v>
      </c>
      <c r="B73" s="1" t="s">
        <v>533</v>
      </c>
      <c r="C73" s="4">
        <v>70048</v>
      </c>
      <c r="D73" s="4"/>
      <c r="E73" s="1" t="s">
        <v>283</v>
      </c>
      <c r="F73" s="55">
        <v>3180.3</v>
      </c>
      <c r="G73" s="31" t="s">
        <v>452</v>
      </c>
      <c r="H73" s="87">
        <v>3079.41</v>
      </c>
      <c r="I73" s="93">
        <v>2990.42</v>
      </c>
      <c r="J73" s="99">
        <v>2888.95</v>
      </c>
      <c r="K73" s="96">
        <v>2495.0700000000002</v>
      </c>
      <c r="L73" s="101">
        <v>2248.48</v>
      </c>
      <c r="M73" s="105">
        <v>2326.8000000000002</v>
      </c>
      <c r="N73" s="107">
        <v>2474.41</v>
      </c>
      <c r="O73" s="112">
        <v>2609.79</v>
      </c>
      <c r="P73" s="133">
        <v>2519.86</v>
      </c>
      <c r="Q73" s="31">
        <v>3350.49</v>
      </c>
      <c r="R73" s="171">
        <v>3450.79</v>
      </c>
      <c r="S73" s="8">
        <f t="shared" si="8"/>
        <v>33614.770000000004</v>
      </c>
      <c r="T73" s="1">
        <f t="shared" si="6"/>
        <v>12</v>
      </c>
      <c r="U73" s="31">
        <f t="shared" si="7"/>
        <v>2801.2308333333335</v>
      </c>
    </row>
    <row r="74" spans="1:21">
      <c r="A74" s="1">
        <v>72</v>
      </c>
      <c r="B74" s="1" t="s">
        <v>549</v>
      </c>
      <c r="C74" s="4">
        <v>70052</v>
      </c>
      <c r="D74" s="4"/>
      <c r="E74" s="1" t="s">
        <v>284</v>
      </c>
      <c r="F74" s="55">
        <v>4691.51</v>
      </c>
      <c r="G74" s="31" t="s">
        <v>453</v>
      </c>
      <c r="H74" s="87">
        <v>4550.6400000000003</v>
      </c>
      <c r="I74" s="93">
        <v>4412.93</v>
      </c>
      <c r="J74" s="99">
        <v>4298.1499999999996</v>
      </c>
      <c r="K74" s="96">
        <v>3676.91</v>
      </c>
      <c r="L74" s="101">
        <v>3325.27</v>
      </c>
      <c r="M74" s="105">
        <v>2707.83</v>
      </c>
      <c r="N74" s="107">
        <v>3451.4</v>
      </c>
      <c r="O74" s="112">
        <v>3398.62</v>
      </c>
      <c r="P74" s="133">
        <v>4715.25</v>
      </c>
      <c r="Q74" s="31">
        <v>4636.49</v>
      </c>
      <c r="R74" s="171">
        <v>4798.47</v>
      </c>
      <c r="S74" s="8">
        <f t="shared" si="8"/>
        <v>48663.470000000008</v>
      </c>
      <c r="T74" s="1">
        <f t="shared" si="6"/>
        <v>12</v>
      </c>
      <c r="U74" s="31">
        <f t="shared" si="7"/>
        <v>4055.2891666666674</v>
      </c>
    </row>
    <row r="75" spans="1:21">
      <c r="A75" s="1">
        <v>73</v>
      </c>
      <c r="B75" s="1" t="s">
        <v>547</v>
      </c>
      <c r="C75" s="4">
        <v>70049</v>
      </c>
      <c r="D75" s="4">
        <v>120</v>
      </c>
      <c r="E75" s="1" t="s">
        <v>393</v>
      </c>
      <c r="F75" s="60">
        <v>200.4</v>
      </c>
      <c r="G75" s="32" t="s">
        <v>449</v>
      </c>
      <c r="H75" s="148">
        <v>182.4</v>
      </c>
      <c r="I75" s="149">
        <v>199.2</v>
      </c>
      <c r="J75" s="150">
        <v>243.6</v>
      </c>
      <c r="K75" s="152">
        <v>183.6</v>
      </c>
      <c r="L75" s="155">
        <v>214.8</v>
      </c>
      <c r="M75" s="156">
        <v>184.2</v>
      </c>
      <c r="N75" s="157">
        <v>210</v>
      </c>
      <c r="O75" s="161">
        <v>165.9</v>
      </c>
      <c r="P75" s="165">
        <v>214.2</v>
      </c>
      <c r="Q75" s="32">
        <v>144</v>
      </c>
      <c r="R75" s="172">
        <v>228</v>
      </c>
      <c r="S75" s="8">
        <f t="shared" si="8"/>
        <v>2370.3000000000002</v>
      </c>
      <c r="T75" s="1">
        <f t="shared" ref="T75:T80" si="9">COUNT(F75:R75)</f>
        <v>12</v>
      </c>
      <c r="U75" s="31">
        <f t="shared" ref="U75:U80" si="10">+S75/T75</f>
        <v>197.52500000000001</v>
      </c>
    </row>
    <row r="76" spans="1:21">
      <c r="A76" s="1">
        <v>74</v>
      </c>
      <c r="B76" s="1" t="s">
        <v>539</v>
      </c>
      <c r="C76" s="4">
        <v>70071</v>
      </c>
      <c r="D76" s="4">
        <v>180</v>
      </c>
      <c r="E76" s="1" t="s">
        <v>286</v>
      </c>
      <c r="F76" s="60">
        <v>420.08</v>
      </c>
      <c r="G76" s="32" t="s">
        <v>446</v>
      </c>
      <c r="H76" s="148">
        <v>335.1</v>
      </c>
      <c r="I76" s="149">
        <v>630.6</v>
      </c>
      <c r="J76" s="150">
        <v>799.02</v>
      </c>
      <c r="K76" s="152">
        <v>423.72</v>
      </c>
      <c r="L76" s="155">
        <v>55.02</v>
      </c>
      <c r="M76" s="156">
        <v>60.18</v>
      </c>
      <c r="N76" s="157">
        <v>63.96</v>
      </c>
      <c r="O76" s="161">
        <v>135.41999999999999</v>
      </c>
      <c r="P76" s="165">
        <v>872.94</v>
      </c>
      <c r="Q76" s="32">
        <v>452.88</v>
      </c>
      <c r="R76" s="172">
        <v>372</v>
      </c>
      <c r="S76" s="8">
        <f t="shared" si="8"/>
        <v>4620.92</v>
      </c>
      <c r="T76" s="1">
        <f t="shared" si="9"/>
        <v>12</v>
      </c>
      <c r="U76" s="31">
        <f t="shared" si="10"/>
        <v>385.07666666666665</v>
      </c>
    </row>
    <row r="77" spans="1:21">
      <c r="A77" s="1">
        <v>75</v>
      </c>
      <c r="C77" s="4">
        <v>15019612</v>
      </c>
      <c r="D77" s="4"/>
      <c r="E77" s="1" t="s">
        <v>365</v>
      </c>
      <c r="F77" s="60">
        <v>179.7</v>
      </c>
      <c r="G77" s="32"/>
      <c r="H77" s="148">
        <v>130.5</v>
      </c>
      <c r="I77" s="149">
        <v>151.19999999999999</v>
      </c>
      <c r="J77" s="150">
        <v>116.1</v>
      </c>
      <c r="K77" s="152">
        <v>81.84</v>
      </c>
      <c r="L77" s="155">
        <v>15</v>
      </c>
      <c r="M77" s="127"/>
      <c r="N77" s="157">
        <v>56.4</v>
      </c>
      <c r="O77" s="161">
        <v>65.099999999999994</v>
      </c>
      <c r="P77" s="134"/>
      <c r="Q77" s="32">
        <v>156</v>
      </c>
      <c r="R77" s="172">
        <v>109.8</v>
      </c>
      <c r="S77" s="8">
        <f t="shared" si="8"/>
        <v>1061.6400000000001</v>
      </c>
      <c r="T77" s="1">
        <f t="shared" si="9"/>
        <v>10</v>
      </c>
      <c r="U77" s="31">
        <f t="shared" si="10"/>
        <v>106.16400000000002</v>
      </c>
    </row>
    <row r="78" spans="1:21">
      <c r="A78" s="1">
        <v>76</v>
      </c>
      <c r="B78" s="1" t="s">
        <v>531</v>
      </c>
      <c r="C78" s="4">
        <v>70098</v>
      </c>
      <c r="D78" s="4"/>
      <c r="E78" s="1" t="s">
        <v>113</v>
      </c>
      <c r="F78" s="60">
        <v>310.14</v>
      </c>
      <c r="G78" s="32"/>
      <c r="H78" s="148">
        <v>263.07</v>
      </c>
      <c r="I78" s="149">
        <v>333.75</v>
      </c>
      <c r="J78" s="150">
        <v>232.39</v>
      </c>
      <c r="K78" s="152">
        <v>111</v>
      </c>
      <c r="L78" s="155">
        <v>123</v>
      </c>
      <c r="M78" s="127"/>
      <c r="N78" s="128"/>
      <c r="O78" s="130"/>
      <c r="P78" s="165">
        <v>103.5</v>
      </c>
      <c r="Q78" s="32">
        <v>192</v>
      </c>
      <c r="R78" s="172">
        <v>152.52000000000001</v>
      </c>
      <c r="S78" s="8">
        <f t="shared" si="8"/>
        <v>1821.37</v>
      </c>
      <c r="T78" s="1">
        <f t="shared" si="9"/>
        <v>9</v>
      </c>
      <c r="U78" s="31">
        <f t="shared" si="10"/>
        <v>202.37444444444444</v>
      </c>
    </row>
    <row r="79" spans="1:21">
      <c r="A79" s="1">
        <v>77</v>
      </c>
      <c r="B79" s="1" t="s">
        <v>550</v>
      </c>
      <c r="C79" s="42">
        <v>7007701</v>
      </c>
      <c r="D79" s="42">
        <v>122</v>
      </c>
      <c r="E79" s="11" t="s">
        <v>98</v>
      </c>
      <c r="F79" s="55">
        <v>7467.3</v>
      </c>
      <c r="G79" s="31" t="s">
        <v>448</v>
      </c>
      <c r="H79" s="87">
        <v>6483.06</v>
      </c>
      <c r="I79" s="93">
        <v>7342.86</v>
      </c>
      <c r="J79" s="99">
        <v>8302.0400000000009</v>
      </c>
      <c r="K79" s="96">
        <v>4583.82</v>
      </c>
      <c r="L79" s="101">
        <v>4301.17</v>
      </c>
      <c r="M79" s="105">
        <v>4818.96</v>
      </c>
      <c r="N79" s="107">
        <v>5385.07</v>
      </c>
      <c r="O79" s="112">
        <v>5186.37</v>
      </c>
      <c r="P79" s="133">
        <v>7395.66</v>
      </c>
      <c r="Q79" s="31">
        <v>6335.7</v>
      </c>
      <c r="R79" s="171">
        <v>6610.5</v>
      </c>
      <c r="S79" s="8">
        <f t="shared" si="8"/>
        <v>74212.509999999995</v>
      </c>
      <c r="T79" s="1">
        <f t="shared" si="9"/>
        <v>12</v>
      </c>
      <c r="U79" s="31">
        <f t="shared" si="10"/>
        <v>6184.3758333333326</v>
      </c>
    </row>
    <row r="80" spans="1:21">
      <c r="A80" s="1">
        <v>78</v>
      </c>
      <c r="B80" s="22"/>
      <c r="C80" s="51">
        <v>70094</v>
      </c>
      <c r="D80" s="51"/>
      <c r="E80" s="52" t="s">
        <v>95</v>
      </c>
      <c r="F80" s="91">
        <v>242.47</v>
      </c>
      <c r="G80" s="34"/>
      <c r="H80" s="90">
        <v>394.08</v>
      </c>
      <c r="I80" s="97">
        <v>651.36</v>
      </c>
      <c r="J80" s="100">
        <v>1043.0999999999999</v>
      </c>
      <c r="K80" s="97">
        <v>209.52</v>
      </c>
      <c r="L80" s="103">
        <v>133.26</v>
      </c>
      <c r="M80" s="162"/>
      <c r="N80" s="169"/>
      <c r="O80" s="168"/>
      <c r="P80" s="167"/>
      <c r="Q80" s="170"/>
      <c r="R80" s="174"/>
      <c r="S80" s="33">
        <f t="shared" si="8"/>
        <v>2673.79</v>
      </c>
      <c r="T80" s="22">
        <f t="shared" si="9"/>
        <v>6</v>
      </c>
      <c r="U80" s="34">
        <f t="shared" si="10"/>
        <v>445.63166666666666</v>
      </c>
    </row>
    <row r="81" spans="3:21">
      <c r="F81" s="31"/>
      <c r="G81" s="31"/>
      <c r="H81" s="31"/>
      <c r="I81" s="31"/>
      <c r="J81" s="31"/>
      <c r="K81" s="31"/>
      <c r="L81" s="31"/>
      <c r="M81" s="31"/>
    </row>
    <row r="82" spans="3:21">
      <c r="E82" s="1" t="s">
        <v>140</v>
      </c>
      <c r="F82" s="31">
        <f t="shared" ref="F82:N82" si="11">+SUM(F2:F80)</f>
        <v>864289.53000000014</v>
      </c>
      <c r="G82" s="31"/>
      <c r="H82" s="31">
        <f t="shared" si="11"/>
        <v>671593.46999999986</v>
      </c>
      <c r="I82" s="31">
        <f>+SUM(I2:I80)</f>
        <v>724611.47000000044</v>
      </c>
      <c r="J82" s="31">
        <f t="shared" si="11"/>
        <v>831169.57</v>
      </c>
      <c r="K82" s="31">
        <f>+SUM(K2:K80)</f>
        <v>590356.66999999993</v>
      </c>
      <c r="L82" s="31">
        <f t="shared" si="11"/>
        <v>452502.01000000007</v>
      </c>
      <c r="M82" s="31">
        <f t="shared" si="11"/>
        <v>400639.08</v>
      </c>
      <c r="N82" s="31">
        <f t="shared" si="11"/>
        <v>490267.16000000003</v>
      </c>
      <c r="O82" s="31">
        <f>SUM(O2:O80)</f>
        <v>664363.65</v>
      </c>
      <c r="P82" s="31">
        <f>+SUM(P2:P80)</f>
        <v>788747.87</v>
      </c>
      <c r="Q82" s="31">
        <f>+SUM(Q2:Q80)</f>
        <v>859331.35000000021</v>
      </c>
      <c r="R82" s="31">
        <f>SUM(R2:R80)</f>
        <v>657427.73000000021</v>
      </c>
      <c r="S82" s="31">
        <f>SUM(S3:S80)</f>
        <v>7973935.3099999968</v>
      </c>
      <c r="U82" s="31">
        <f>+S82/10</f>
        <v>797393.53099999973</v>
      </c>
    </row>
    <row r="83" spans="3:21">
      <c r="E83" s="1" t="s">
        <v>348</v>
      </c>
      <c r="F83" s="68">
        <f>-F32-F43-F48-F35</f>
        <v>-98204.739999999991</v>
      </c>
      <c r="G83" s="68"/>
      <c r="H83" s="68">
        <f>-H28-H48-H35-H43</f>
        <v>-51008.03</v>
      </c>
      <c r="I83" s="68">
        <f>-I48-I72-I43-I35-I80-I61</f>
        <v>-38179.810000000005</v>
      </c>
      <c r="J83" s="68">
        <f>-J2-J47-J35-J46-J48-J43-J61</f>
        <v>-69027.509999999995</v>
      </c>
      <c r="K83" s="68">
        <f>-K3-K4-K24-K28-K43-K47</f>
        <v>-52056.23</v>
      </c>
      <c r="L83" s="68">
        <f>-L3-L4-L28-L24-L47-L44-L46-L48-L58-L43</f>
        <v>-53951.19</v>
      </c>
      <c r="M83" s="68">
        <f>-M28-M35-M43-M44-M46-M47-M78-M80</f>
        <v>-41940.39</v>
      </c>
      <c r="N83" s="68">
        <f>-N28-N35-N43-N47-N48-N57-N78-N80</f>
        <v>-38541.79</v>
      </c>
      <c r="O83" s="68">
        <f>-O2-O17-O28-O35-O40-O47-O48-O61-O58-O71-O78-O80</f>
        <v>-44338.59</v>
      </c>
      <c r="P83" s="68">
        <f>-P2-P9-P17-P28-P35-P40-P47-P48-P61-P71-P77-P80</f>
        <v>-36454.46</v>
      </c>
      <c r="Q83" s="68">
        <f>-Q51-Q48-Q47-Q35-Q28</f>
        <v>-13653.73</v>
      </c>
      <c r="R83" s="68">
        <f>-R9-R28-R35-R47-R48</f>
        <v>0</v>
      </c>
      <c r="S83" s="31">
        <f t="shared" ref="S83:S89" si="12">+SUM(F83:R83)</f>
        <v>-537356.47</v>
      </c>
    </row>
    <row r="84" spans="3:21">
      <c r="E84" s="1" t="s">
        <v>349</v>
      </c>
      <c r="F84" s="68">
        <f>+'2011'!O43+'2011'!P43+'2011'!Q43+'2011'!Q32</f>
        <v>13770.06</v>
      </c>
      <c r="G84" s="68"/>
      <c r="H84" s="68">
        <f>+F32+F35</f>
        <v>75760.209999999992</v>
      </c>
      <c r="I84" s="68">
        <f>+F48+H48+H28+H35</f>
        <v>28612.559999999998</v>
      </c>
      <c r="J84" s="68">
        <f>+I35+I72+'2011'!K23+'2011'!L23+'2011'!M23+'2011'!N23+'2011'!J23</f>
        <v>54850.8</v>
      </c>
      <c r="K84" s="68">
        <f>+J2+J46+J48+I80+J35</f>
        <v>30838</v>
      </c>
      <c r="L84" s="68">
        <f>+F43+H43+I43+J47+K24+K4+K3</f>
        <v>91942</v>
      </c>
      <c r="M84" s="68">
        <f>+L3+L4+L24+K47+L44+L48+I61+J61+J43+K43+L43+L46</f>
        <v>106492.06000000003</v>
      </c>
      <c r="N84" s="68">
        <f>+M35+M43+M44+M46+L47</f>
        <v>49390.1</v>
      </c>
      <c r="O84" s="68">
        <f>+N35+N43+N57+M47</f>
        <v>36663.789999999994</v>
      </c>
      <c r="P84" s="68">
        <f>+O35+N47</f>
        <v>21566.59</v>
      </c>
      <c r="Q84" s="68">
        <f>+P9+P35+O47+P47</f>
        <v>67671.459999999992</v>
      </c>
      <c r="R84" s="68">
        <f>+Q35+P47+Q51</f>
        <v>35066.729999999996</v>
      </c>
      <c r="S84" s="31">
        <f t="shared" si="12"/>
        <v>612624.36</v>
      </c>
    </row>
    <row r="85" spans="3:21">
      <c r="E85" s="1" t="s">
        <v>301</v>
      </c>
      <c r="F85" s="69">
        <f t="shared" ref="F85:P85" si="13">+SUM(F82:F84)</f>
        <v>779854.85000000021</v>
      </c>
      <c r="G85" s="69"/>
      <c r="H85" s="69">
        <f t="shared" si="13"/>
        <v>696345.64999999979</v>
      </c>
      <c r="I85" s="69">
        <f t="shared" si="13"/>
        <v>715044.22000000044</v>
      </c>
      <c r="J85" s="69">
        <f t="shared" si="13"/>
        <v>816992.86</v>
      </c>
      <c r="K85" s="69">
        <f t="shared" si="13"/>
        <v>569138.43999999994</v>
      </c>
      <c r="L85" s="69">
        <f t="shared" si="13"/>
        <v>490492.82000000007</v>
      </c>
      <c r="M85" s="69">
        <f t="shared" si="13"/>
        <v>465190.75</v>
      </c>
      <c r="N85" s="69">
        <f t="shared" si="13"/>
        <v>501115.47000000003</v>
      </c>
      <c r="O85" s="69">
        <f t="shared" si="13"/>
        <v>656688.85000000009</v>
      </c>
      <c r="P85" s="69">
        <f t="shared" si="13"/>
        <v>773860</v>
      </c>
      <c r="Q85" s="69">
        <f>+SUM(Q82:Q84)</f>
        <v>913349.08000000019</v>
      </c>
      <c r="R85" s="69">
        <f>+SUM(R82:R84)</f>
        <v>692494.4600000002</v>
      </c>
      <c r="S85" s="34">
        <f t="shared" si="12"/>
        <v>8070567.4500000002</v>
      </c>
    </row>
    <row r="86" spans="3:21">
      <c r="E86" s="67" t="s">
        <v>304</v>
      </c>
      <c r="F86" s="68">
        <f t="shared" ref="F86:R86" si="14">+F85/6*4</f>
        <v>519903.23333333345</v>
      </c>
      <c r="G86" s="68"/>
      <c r="H86" s="68">
        <f t="shared" si="14"/>
        <v>464230.43333333317</v>
      </c>
      <c r="I86" s="68">
        <f t="shared" si="14"/>
        <v>476696.14666666696</v>
      </c>
      <c r="J86" s="68">
        <f t="shared" si="14"/>
        <v>544661.90666666662</v>
      </c>
      <c r="K86" s="68">
        <f t="shared" si="14"/>
        <v>379425.62666666665</v>
      </c>
      <c r="L86" s="68">
        <f t="shared" si="14"/>
        <v>326995.21333333338</v>
      </c>
      <c r="M86" s="68">
        <f>+M85/6*4</f>
        <v>310127.16666666669</v>
      </c>
      <c r="N86" s="68">
        <f t="shared" si="14"/>
        <v>334076.98000000004</v>
      </c>
      <c r="O86" s="68">
        <f t="shared" si="14"/>
        <v>437792.56666666671</v>
      </c>
      <c r="P86" s="68">
        <f t="shared" si="14"/>
        <v>515906.66666666669</v>
      </c>
      <c r="Q86" s="68">
        <f t="shared" si="14"/>
        <v>608899.38666666683</v>
      </c>
      <c r="R86" s="68">
        <f t="shared" si="14"/>
        <v>461662.97333333344</v>
      </c>
      <c r="S86" s="31">
        <f t="shared" si="12"/>
        <v>5380378.3000000007</v>
      </c>
    </row>
    <row r="87" spans="3:21">
      <c r="E87" s="67" t="s">
        <v>305</v>
      </c>
      <c r="F87" s="68">
        <f t="shared" ref="F87:R87" si="15">+F85/6*2</f>
        <v>259951.61666666673</v>
      </c>
      <c r="G87" s="68"/>
      <c r="H87" s="68">
        <f t="shared" si="15"/>
        <v>232115.21666666659</v>
      </c>
      <c r="I87" s="68">
        <f t="shared" si="15"/>
        <v>238348.07333333348</v>
      </c>
      <c r="J87" s="68">
        <f t="shared" si="15"/>
        <v>272330.95333333331</v>
      </c>
      <c r="K87" s="68">
        <f t="shared" si="15"/>
        <v>189712.81333333332</v>
      </c>
      <c r="L87" s="68">
        <f t="shared" si="15"/>
        <v>163497.60666666669</v>
      </c>
      <c r="M87" s="68">
        <f>+M85/6*2</f>
        <v>155063.58333333334</v>
      </c>
      <c r="N87" s="68">
        <f t="shared" si="15"/>
        <v>167038.49000000002</v>
      </c>
      <c r="O87" s="68">
        <f t="shared" si="15"/>
        <v>218896.28333333335</v>
      </c>
      <c r="P87" s="68">
        <f t="shared" si="15"/>
        <v>257953.33333333334</v>
      </c>
      <c r="Q87" s="68">
        <f t="shared" si="15"/>
        <v>304449.69333333342</v>
      </c>
      <c r="R87" s="68">
        <f t="shared" si="15"/>
        <v>230831.48666666672</v>
      </c>
      <c r="S87" s="31">
        <f t="shared" si="12"/>
        <v>2690189.1500000004</v>
      </c>
    </row>
    <row r="88" spans="3:21">
      <c r="E88" s="1" t="s">
        <v>302</v>
      </c>
      <c r="F88" s="68">
        <f t="shared" ref="F88:R88" si="16">+F87*0.01</f>
        <v>2599.5161666666672</v>
      </c>
      <c r="G88" s="68"/>
      <c r="H88" s="68">
        <f t="shared" si="16"/>
        <v>2321.1521666666658</v>
      </c>
      <c r="I88" s="68">
        <f t="shared" si="16"/>
        <v>2383.4807333333347</v>
      </c>
      <c r="J88" s="68">
        <f t="shared" si="16"/>
        <v>2723.3095333333331</v>
      </c>
      <c r="K88" s="68">
        <f t="shared" si="16"/>
        <v>1897.1281333333334</v>
      </c>
      <c r="L88" s="68">
        <f t="shared" si="16"/>
        <v>1634.9760666666668</v>
      </c>
      <c r="M88" s="68">
        <f>+M87*0.01</f>
        <v>1550.6358333333335</v>
      </c>
      <c r="N88" s="68">
        <f t="shared" si="16"/>
        <v>1670.3849000000002</v>
      </c>
      <c r="O88" s="68">
        <f t="shared" si="16"/>
        <v>2188.9628333333335</v>
      </c>
      <c r="P88" s="68">
        <f t="shared" si="16"/>
        <v>2579.5333333333333</v>
      </c>
      <c r="Q88" s="68">
        <f t="shared" si="16"/>
        <v>3044.4969333333343</v>
      </c>
      <c r="R88" s="68">
        <f t="shared" si="16"/>
        <v>2308.3148666666671</v>
      </c>
      <c r="S88" s="31">
        <f t="shared" si="12"/>
        <v>26901.891500000005</v>
      </c>
    </row>
    <row r="89" spans="3:21">
      <c r="E89" s="1" t="s">
        <v>303</v>
      </c>
      <c r="F89" s="71">
        <f t="shared" ref="F89:R89" si="17">+F86-F88</f>
        <v>517303.71716666681</v>
      </c>
      <c r="G89" s="71"/>
      <c r="H89" s="71">
        <f t="shared" si="17"/>
        <v>461909.28116666654</v>
      </c>
      <c r="I89" s="71">
        <f t="shared" si="17"/>
        <v>474312.66593333363</v>
      </c>
      <c r="J89" s="71">
        <f t="shared" si="17"/>
        <v>541938.59713333333</v>
      </c>
      <c r="K89" s="71">
        <f t="shared" si="17"/>
        <v>377528.4985333333</v>
      </c>
      <c r="L89" s="71">
        <f t="shared" si="17"/>
        <v>325360.23726666672</v>
      </c>
      <c r="M89" s="71">
        <f t="shared" si="17"/>
        <v>308576.53083333338</v>
      </c>
      <c r="N89" s="71">
        <f t="shared" si="17"/>
        <v>332406.59510000004</v>
      </c>
      <c r="O89" s="71">
        <f t="shared" si="17"/>
        <v>435603.60383333336</v>
      </c>
      <c r="P89" s="71">
        <f t="shared" si="17"/>
        <v>513327.13333333336</v>
      </c>
      <c r="Q89" s="71">
        <f t="shared" si="17"/>
        <v>605854.88973333349</v>
      </c>
      <c r="R89" s="71">
        <f t="shared" si="17"/>
        <v>459354.65846666676</v>
      </c>
      <c r="S89" s="34">
        <f t="shared" si="12"/>
        <v>5353476.4085000008</v>
      </c>
    </row>
    <row r="90" spans="3:21">
      <c r="S90" s="31"/>
    </row>
    <row r="91" spans="3:21">
      <c r="F91" s="70"/>
      <c r="G91" s="70"/>
      <c r="J91" s="70"/>
      <c r="K91" s="70" t="s">
        <v>388</v>
      </c>
      <c r="M91" s="70"/>
      <c r="N91" s="70"/>
      <c r="O91" s="70"/>
      <c r="Q91" s="70"/>
    </row>
    <row r="92" spans="3:21">
      <c r="E92" s="70"/>
      <c r="F92" s="70"/>
      <c r="G92" s="70"/>
      <c r="H92" s="70"/>
      <c r="I92" s="70"/>
      <c r="J92" s="8"/>
      <c r="K92" s="70"/>
      <c r="N92" s="70"/>
      <c r="O92" s="70"/>
      <c r="P92" s="70"/>
    </row>
    <row r="93" spans="3:21" s="137" customFormat="1">
      <c r="C93" s="137" t="s">
        <v>390</v>
      </c>
      <c r="F93" s="137">
        <v>14143865</v>
      </c>
      <c r="H93" s="137">
        <v>12273561</v>
      </c>
      <c r="I93" s="137">
        <v>12834234</v>
      </c>
      <c r="J93" s="137">
        <v>15355330</v>
      </c>
      <c r="K93" s="137">
        <v>10841725</v>
      </c>
      <c r="L93" s="137">
        <v>7690608</v>
      </c>
      <c r="M93" s="137">
        <v>7727154</v>
      </c>
      <c r="N93" s="137">
        <v>8787634</v>
      </c>
      <c r="O93" s="137">
        <v>11998205</v>
      </c>
      <c r="P93" s="137">
        <v>14911993</v>
      </c>
      <c r="Q93" s="137">
        <v>14641454</v>
      </c>
      <c r="R93" s="137">
        <v>13146127</v>
      </c>
      <c r="S93" s="137">
        <f>+SUM(F93:R93)</f>
        <v>144351890</v>
      </c>
    </row>
    <row r="94" spans="3:21" s="158" customFormat="1">
      <c r="C94" s="158" t="s">
        <v>389</v>
      </c>
      <c r="F94" s="158">
        <f>+F93*0.06</f>
        <v>848631.9</v>
      </c>
      <c r="H94" s="158">
        <f t="shared" ref="H94:N94" si="18">+H93*0.06</f>
        <v>736413.65999999992</v>
      </c>
      <c r="I94" s="158">
        <f t="shared" si="18"/>
        <v>770054.03999999992</v>
      </c>
      <c r="J94" s="158">
        <f t="shared" si="18"/>
        <v>921319.79999999993</v>
      </c>
      <c r="K94" s="158">
        <f t="shared" si="18"/>
        <v>650503.5</v>
      </c>
      <c r="L94" s="158">
        <f t="shared" si="18"/>
        <v>461436.48</v>
      </c>
      <c r="M94" s="158">
        <f t="shared" si="18"/>
        <v>463629.24</v>
      </c>
      <c r="N94" s="158">
        <f t="shared" si="18"/>
        <v>527258.04</v>
      </c>
      <c r="O94" s="158">
        <f>+O93*0.06</f>
        <v>719892.29999999993</v>
      </c>
      <c r="P94" s="158">
        <f>+P93*0.06</f>
        <v>894719.58</v>
      </c>
      <c r="Q94" s="158">
        <f>+Q93*0.06</f>
        <v>878487.24</v>
      </c>
      <c r="R94" s="158">
        <f>+R93*0.06</f>
        <v>788767.62</v>
      </c>
      <c r="S94" s="137">
        <f>+SUM(F94:R94)</f>
        <v>8661113.4000000004</v>
      </c>
    </row>
    <row r="95" spans="3:21" s="158" customFormat="1">
      <c r="C95" s="159" t="s">
        <v>391</v>
      </c>
      <c r="D95" s="159"/>
      <c r="E95" s="159"/>
      <c r="F95" s="219">
        <f>+F85-F94</f>
        <v>-68777.049999999814</v>
      </c>
      <c r="G95" s="159"/>
      <c r="H95" s="219">
        <f t="shared" ref="H95:S95" si="19">+H85-H94</f>
        <v>-40068.010000000126</v>
      </c>
      <c r="I95" s="219">
        <f t="shared" si="19"/>
        <v>-55009.819999999483</v>
      </c>
      <c r="J95" s="219">
        <f t="shared" si="19"/>
        <v>-104326.93999999994</v>
      </c>
      <c r="K95" s="219">
        <f t="shared" si="19"/>
        <v>-81365.060000000056</v>
      </c>
      <c r="L95" s="219">
        <f t="shared" si="19"/>
        <v>29056.340000000084</v>
      </c>
      <c r="M95" s="219">
        <f t="shared" si="19"/>
        <v>1561.5100000000093</v>
      </c>
      <c r="N95" s="219">
        <f t="shared" si="19"/>
        <v>-26142.570000000007</v>
      </c>
      <c r="O95" s="219">
        <f t="shared" si="19"/>
        <v>-63203.449999999837</v>
      </c>
      <c r="P95" s="219">
        <f t="shared" si="19"/>
        <v>-120859.57999999996</v>
      </c>
      <c r="Q95" s="219">
        <f t="shared" si="19"/>
        <v>34861.8400000002</v>
      </c>
      <c r="R95" s="219">
        <f t="shared" si="19"/>
        <v>-96273.1599999998</v>
      </c>
      <c r="S95" s="219">
        <f t="shared" si="19"/>
        <v>-590545.95000000019</v>
      </c>
    </row>
    <row r="96" spans="3:21" s="78" customFormat="1">
      <c r="C96" s="78" t="s">
        <v>392</v>
      </c>
      <c r="F96" s="78">
        <f>+F95/F94</f>
        <v>-8.1044620170417594E-2</v>
      </c>
      <c r="H96" s="78">
        <f t="shared" ref="H96:N96" si="20">+H95/H94</f>
        <v>-5.4409650684643915E-2</v>
      </c>
      <c r="I96" s="78">
        <f t="shared" si="20"/>
        <v>-7.1436311145123638E-2</v>
      </c>
      <c r="J96" s="78">
        <f t="shared" si="20"/>
        <v>-0.11323640282125702</v>
      </c>
      <c r="K96" s="78">
        <f t="shared" si="20"/>
        <v>-0.12508012639440072</v>
      </c>
      <c r="L96" s="78">
        <f t="shared" si="20"/>
        <v>6.2969317033625266E-2</v>
      </c>
      <c r="M96" s="78">
        <f t="shared" si="20"/>
        <v>3.3680144936501619E-3</v>
      </c>
      <c r="N96" s="78">
        <f t="shared" si="20"/>
        <v>-4.9582117325323298E-2</v>
      </c>
      <c r="O96" s="78">
        <f>+O95/O94</f>
        <v>-8.7795702218234364E-2</v>
      </c>
      <c r="P96" s="78">
        <f>+P95/P94</f>
        <v>-0.13508096022666674</v>
      </c>
      <c r="Q96" s="78">
        <f>+Q95/Q94</f>
        <v>3.9683945779337898E-2</v>
      </c>
      <c r="R96" s="78">
        <f>+R95/R94</f>
        <v>-0.12205516245709959</v>
      </c>
      <c r="S96" s="78">
        <f>+S95/S94</f>
        <v>-6.8183606740445185E-2</v>
      </c>
    </row>
  </sheetData>
  <phoneticPr fontId="3" type="noConversion"/>
  <printOptions horizontalCentered="1"/>
  <pageMargins left="0.25" right="0.25" top="0.5" bottom="0.25" header="0.25" footer="0.25"/>
  <pageSetup scale="61" fitToHeight="2" orientation="landscape" r:id="rId1"/>
  <headerFooter alignWithMargins="0">
    <oddHeader>&amp;C&amp;"Arial,Bold"&amp;11Occupancy Tax Receipts
Fiscal Year 2012</oddHead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100"/>
  <sheetViews>
    <sheetView zoomScale="125" workbookViewId="0">
      <pane xSplit="5" ySplit="1" topLeftCell="L2" activePane="bottomRight" state="frozen"/>
      <selection pane="topRight" activeCell="C1" sqref="C1"/>
      <selection pane="bottomLeft" activeCell="A2" sqref="A2"/>
      <selection pane="bottomRight" activeCell="T11" sqref="T11"/>
    </sheetView>
  </sheetViews>
  <sheetFormatPr defaultColWidth="9.08984375" defaultRowHeight="10"/>
  <cols>
    <col min="1" max="1" width="2.6328125" style="1" bestFit="1" customWidth="1"/>
    <col min="2" max="2" width="10.453125" style="1" customWidth="1"/>
    <col min="3" max="3" width="7.90625" style="1" bestFit="1" customWidth="1"/>
    <col min="4" max="4" width="7.90625" style="1" hidden="1" customWidth="1"/>
    <col min="5" max="5" width="32.08984375" style="1" bestFit="1" customWidth="1"/>
    <col min="6" max="6" width="12" style="1" bestFit="1" customWidth="1"/>
    <col min="7" max="7" width="24.36328125" style="1" hidden="1" customWidth="1"/>
    <col min="8" max="9" width="12" style="1" bestFit="1" customWidth="1"/>
    <col min="10" max="10" width="13.453125" style="1" bestFit="1" customWidth="1"/>
    <col min="11" max="11" width="12" style="1" customWidth="1"/>
    <col min="12" max="16" width="10.6328125" style="1" customWidth="1"/>
    <col min="17" max="17" width="12" style="1" bestFit="1" customWidth="1"/>
    <col min="18" max="18" width="10.6328125" style="1" customWidth="1"/>
    <col min="19" max="19" width="13.6328125" style="1" customWidth="1"/>
    <col min="20" max="20" width="9.08984375" style="1"/>
    <col min="21" max="21" width="10.6328125" style="1" customWidth="1"/>
    <col min="22" max="16384" width="9.08984375" style="1"/>
  </cols>
  <sheetData>
    <row r="1" spans="1:21" s="17" customFormat="1" ht="21">
      <c r="B1" s="17" t="s">
        <v>523</v>
      </c>
      <c r="C1" s="14" t="s">
        <v>82</v>
      </c>
      <c r="D1" s="20" t="s">
        <v>370</v>
      </c>
      <c r="E1" s="15" t="s">
        <v>0</v>
      </c>
      <c r="F1" s="89" t="s">
        <v>470</v>
      </c>
      <c r="G1" s="17" t="s">
        <v>394</v>
      </c>
      <c r="H1" s="88" t="s">
        <v>471</v>
      </c>
      <c r="I1" s="92" t="s">
        <v>472</v>
      </c>
      <c r="J1" s="98" t="s">
        <v>473</v>
      </c>
      <c r="K1" s="95" t="s">
        <v>474</v>
      </c>
      <c r="L1" s="102" t="s">
        <v>475</v>
      </c>
      <c r="M1" s="208" t="s">
        <v>464</v>
      </c>
      <c r="N1" s="109" t="s">
        <v>465</v>
      </c>
      <c r="O1" s="215" t="s">
        <v>466</v>
      </c>
      <c r="P1" s="131" t="s">
        <v>467</v>
      </c>
      <c r="Q1" s="62" t="s">
        <v>468</v>
      </c>
      <c r="R1" s="147" t="s">
        <v>469</v>
      </c>
      <c r="S1" s="64" t="s">
        <v>143</v>
      </c>
      <c r="T1" s="64"/>
      <c r="U1" s="64" t="s">
        <v>142</v>
      </c>
    </row>
    <row r="2" spans="1:21" s="17" customFormat="1" ht="10.5">
      <c r="A2" s="1">
        <v>1</v>
      </c>
      <c r="B2" s="1" t="s">
        <v>531</v>
      </c>
      <c r="C2" s="4">
        <v>15002216</v>
      </c>
      <c r="D2" s="4"/>
      <c r="E2" s="1" t="s">
        <v>329</v>
      </c>
      <c r="F2" s="179">
        <v>38.159999999999997</v>
      </c>
      <c r="G2" s="176"/>
      <c r="H2" s="183"/>
      <c r="I2" s="188"/>
      <c r="J2" s="191">
        <v>128.22</v>
      </c>
      <c r="K2" s="197"/>
      <c r="L2" s="199"/>
      <c r="M2" s="209"/>
      <c r="N2" s="213"/>
      <c r="O2" s="216"/>
      <c r="P2" s="221">
        <v>101.4</v>
      </c>
      <c r="Q2" s="175"/>
      <c r="R2" s="173"/>
      <c r="S2" s="8">
        <f t="shared" ref="S2:S68" si="0">+SUM(F2:R2)</f>
        <v>267.77999999999997</v>
      </c>
      <c r="T2" s="86"/>
      <c r="U2" s="31">
        <f>+S2/1</f>
        <v>267.77999999999997</v>
      </c>
    </row>
    <row r="3" spans="1:21">
      <c r="A3" s="1">
        <v>2</v>
      </c>
      <c r="C3" s="4">
        <v>13348900</v>
      </c>
      <c r="D3" s="4">
        <v>88</v>
      </c>
      <c r="E3" s="1" t="s">
        <v>461</v>
      </c>
      <c r="F3" s="179">
        <v>5447.7</v>
      </c>
      <c r="G3" s="177"/>
      <c r="H3" s="184">
        <v>3702.3</v>
      </c>
      <c r="I3" s="187">
        <v>3173.88</v>
      </c>
      <c r="J3" s="195">
        <v>5538.84</v>
      </c>
      <c r="K3" s="195">
        <v>2890.68</v>
      </c>
      <c r="L3" s="200">
        <v>2780.82</v>
      </c>
      <c r="M3" s="205">
        <v>2385.54</v>
      </c>
      <c r="N3" s="212">
        <v>3028.98</v>
      </c>
      <c r="O3" s="217">
        <v>5533.74</v>
      </c>
      <c r="P3" s="220">
        <v>5817.54</v>
      </c>
      <c r="Q3" s="176">
        <v>3945.18</v>
      </c>
      <c r="R3" s="172"/>
      <c r="S3" s="8">
        <f t="shared" si="0"/>
        <v>44245.200000000004</v>
      </c>
      <c r="T3" s="1">
        <f t="shared" ref="T3:T66" si="1">COUNT(F3:R3)</f>
        <v>11</v>
      </c>
      <c r="U3" s="31">
        <f t="shared" ref="U3:U66" si="2">+S3/T3</f>
        <v>4022.2909090909093</v>
      </c>
    </row>
    <row r="4" spans="1:21">
      <c r="A4" s="1">
        <v>3</v>
      </c>
      <c r="B4" s="1" t="s">
        <v>532</v>
      </c>
      <c r="C4" s="4">
        <v>15030829</v>
      </c>
      <c r="D4" s="4"/>
      <c r="E4" s="1" t="s">
        <v>484</v>
      </c>
      <c r="F4" s="179">
        <v>3839.76</v>
      </c>
      <c r="G4" s="177"/>
      <c r="H4" s="184">
        <v>2478</v>
      </c>
      <c r="I4" s="187">
        <v>2653.2</v>
      </c>
      <c r="J4" s="192">
        <v>5253.96</v>
      </c>
      <c r="K4" s="195">
        <v>2889.36</v>
      </c>
      <c r="L4" s="200">
        <v>2303.52</v>
      </c>
      <c r="M4" s="205">
        <v>1943.34</v>
      </c>
      <c r="N4" s="212">
        <v>2177.2800000000002</v>
      </c>
      <c r="O4" s="217">
        <v>5129.5200000000004</v>
      </c>
      <c r="P4" s="220">
        <v>6301.8</v>
      </c>
      <c r="Q4" s="176">
        <v>5100.3</v>
      </c>
      <c r="R4" s="172">
        <v>5313.15</v>
      </c>
      <c r="S4" s="8">
        <f t="shared" si="0"/>
        <v>45383.19</v>
      </c>
      <c r="T4" s="1">
        <f t="shared" si="1"/>
        <v>12</v>
      </c>
      <c r="U4" s="31">
        <f t="shared" si="2"/>
        <v>3781.9325000000003</v>
      </c>
    </row>
    <row r="5" spans="1:21">
      <c r="A5" s="1">
        <v>4</v>
      </c>
      <c r="B5" s="1" t="s">
        <v>533</v>
      </c>
      <c r="C5" s="4">
        <v>15008670</v>
      </c>
      <c r="D5" s="4">
        <v>117</v>
      </c>
      <c r="E5" s="1" t="s">
        <v>114</v>
      </c>
      <c r="F5" s="179">
        <v>3683.68</v>
      </c>
      <c r="G5" s="177"/>
      <c r="H5" s="184">
        <v>3116.24</v>
      </c>
      <c r="I5" s="187">
        <v>3285.05</v>
      </c>
      <c r="J5" s="192">
        <v>4025.44</v>
      </c>
      <c r="K5" s="195">
        <v>2933.16</v>
      </c>
      <c r="L5" s="200">
        <v>2561.8000000000002</v>
      </c>
      <c r="M5" s="205">
        <v>2534.7399999999998</v>
      </c>
      <c r="N5" s="212">
        <v>2467.63</v>
      </c>
      <c r="O5" s="217">
        <v>4462.92</v>
      </c>
      <c r="P5" s="220">
        <v>3448.12</v>
      </c>
      <c r="Q5" s="176">
        <v>3187.47</v>
      </c>
      <c r="R5" s="172">
        <v>3148.38</v>
      </c>
      <c r="S5" s="8">
        <f t="shared" si="0"/>
        <v>38854.629999999997</v>
      </c>
      <c r="T5" s="1">
        <f t="shared" si="1"/>
        <v>12</v>
      </c>
      <c r="U5" s="31">
        <f t="shared" si="2"/>
        <v>3237.8858333333333</v>
      </c>
    </row>
    <row r="6" spans="1:21">
      <c r="A6" s="1">
        <v>5</v>
      </c>
      <c r="B6" s="1" t="s">
        <v>543</v>
      </c>
      <c r="C6" s="4">
        <v>15020999</v>
      </c>
      <c r="D6" s="4">
        <v>132</v>
      </c>
      <c r="E6" s="1" t="s">
        <v>346</v>
      </c>
      <c r="F6" s="179">
        <v>4396.37</v>
      </c>
      <c r="G6" s="177"/>
      <c r="H6" s="184">
        <v>3699.36</v>
      </c>
      <c r="I6" s="187">
        <v>4815.12</v>
      </c>
      <c r="J6" s="192">
        <v>4781.18</v>
      </c>
      <c r="K6" s="181">
        <v>2642.5</v>
      </c>
      <c r="L6" s="226">
        <v>1718.76</v>
      </c>
      <c r="M6" s="229">
        <v>2038.44</v>
      </c>
      <c r="N6" s="229">
        <v>2008.41</v>
      </c>
      <c r="O6" s="229">
        <v>2990.91</v>
      </c>
      <c r="P6" s="229">
        <v>4436.71</v>
      </c>
      <c r="Q6" s="229">
        <v>2999.93</v>
      </c>
      <c r="R6" s="229">
        <v>3130.67</v>
      </c>
      <c r="S6" s="8">
        <f t="shared" si="0"/>
        <v>39658.359999999993</v>
      </c>
      <c r="T6" s="1">
        <f t="shared" si="1"/>
        <v>12</v>
      </c>
      <c r="U6" s="31">
        <f t="shared" si="2"/>
        <v>3304.8633333333328</v>
      </c>
    </row>
    <row r="7" spans="1:21">
      <c r="A7" s="1">
        <v>6</v>
      </c>
      <c r="B7" s="1" t="s">
        <v>534</v>
      </c>
      <c r="C7" s="4">
        <v>70000</v>
      </c>
      <c r="D7" s="4">
        <v>89</v>
      </c>
      <c r="E7" s="1" t="s">
        <v>229</v>
      </c>
      <c r="F7" s="179">
        <f>938.01+879.46</f>
        <v>1817.47</v>
      </c>
      <c r="G7" s="177"/>
      <c r="H7" s="184">
        <v>1026.1199999999999</v>
      </c>
      <c r="I7" s="187">
        <v>851.62</v>
      </c>
      <c r="J7" s="192">
        <v>883.77</v>
      </c>
      <c r="K7" s="195">
        <v>910.35</v>
      </c>
      <c r="L7" s="200">
        <v>839</v>
      </c>
      <c r="M7" s="205">
        <v>813.8</v>
      </c>
      <c r="N7" s="217">
        <v>965.75</v>
      </c>
      <c r="O7" s="217">
        <v>914.6</v>
      </c>
      <c r="P7" s="220">
        <v>878.25</v>
      </c>
      <c r="Q7" s="176">
        <v>1056.48</v>
      </c>
      <c r="R7" s="172">
        <v>1042.3800000000001</v>
      </c>
      <c r="S7" s="8">
        <f t="shared" si="0"/>
        <v>11999.59</v>
      </c>
      <c r="T7" s="1">
        <f t="shared" si="1"/>
        <v>12</v>
      </c>
      <c r="U7" s="31">
        <f t="shared" si="2"/>
        <v>999.96583333333331</v>
      </c>
    </row>
    <row r="8" spans="1:21">
      <c r="A8" s="1">
        <v>7</v>
      </c>
      <c r="B8" s="1" t="s">
        <v>535</v>
      </c>
      <c r="C8" s="4">
        <v>7003201</v>
      </c>
      <c r="D8" s="4">
        <v>4130</v>
      </c>
      <c r="E8" s="1" t="s">
        <v>385</v>
      </c>
      <c r="F8" s="179">
        <v>8993.2199999999993</v>
      </c>
      <c r="G8" s="177"/>
      <c r="H8" s="184">
        <v>7474.03</v>
      </c>
      <c r="I8" s="187">
        <v>8647.68</v>
      </c>
      <c r="J8" s="192">
        <v>10140.290000000001</v>
      </c>
      <c r="K8" s="195">
        <v>7105.54</v>
      </c>
      <c r="L8" s="200">
        <v>6173.44</v>
      </c>
      <c r="M8" s="205">
        <v>7017.61</v>
      </c>
      <c r="N8" s="212">
        <v>6880.96</v>
      </c>
      <c r="O8" s="217">
        <v>8691.2199999999993</v>
      </c>
      <c r="P8" s="220">
        <v>9880.68</v>
      </c>
      <c r="Q8" s="176">
        <v>9149.49</v>
      </c>
      <c r="R8" s="172">
        <v>8079.91</v>
      </c>
      <c r="S8" s="8">
        <f>+SUM(F8:R8)</f>
        <v>98234.070000000022</v>
      </c>
      <c r="T8" s="1">
        <f>COUNT(F8:R8)</f>
        <v>12</v>
      </c>
      <c r="U8" s="31">
        <f>+S8/T8</f>
        <v>8186.1725000000015</v>
      </c>
    </row>
    <row r="9" spans="1:21">
      <c r="A9" s="1">
        <v>8</v>
      </c>
      <c r="B9" s="1" t="s">
        <v>534</v>
      </c>
      <c r="C9" s="163">
        <v>70002</v>
      </c>
      <c r="D9" s="42">
        <v>90</v>
      </c>
      <c r="E9" s="11" t="s">
        <v>230</v>
      </c>
      <c r="F9" s="179">
        <f>1601.89+1515.85</f>
        <v>3117.74</v>
      </c>
      <c r="G9" s="177"/>
      <c r="H9" s="184">
        <f>1407.25+1576.69</f>
        <v>2983.94</v>
      </c>
      <c r="I9" s="187">
        <v>1537.22</v>
      </c>
      <c r="J9" s="200">
        <v>1623.13</v>
      </c>
      <c r="K9" s="200">
        <v>1574.53</v>
      </c>
      <c r="L9" s="205">
        <v>1659.02</v>
      </c>
      <c r="M9" s="176">
        <v>1717.32</v>
      </c>
      <c r="N9" s="217">
        <v>1573.22</v>
      </c>
      <c r="O9" s="220">
        <v>1638.54</v>
      </c>
      <c r="P9" s="176">
        <v>1543.69</v>
      </c>
      <c r="Q9" s="176">
        <v>1712.11</v>
      </c>
      <c r="R9" s="172">
        <v>1729.67</v>
      </c>
      <c r="S9" s="8">
        <f t="shared" si="0"/>
        <v>22410.129999999997</v>
      </c>
      <c r="T9" s="1">
        <f t="shared" si="1"/>
        <v>12</v>
      </c>
      <c r="U9" s="31">
        <f t="shared" si="2"/>
        <v>1867.510833333333</v>
      </c>
    </row>
    <row r="10" spans="1:21">
      <c r="A10" s="1">
        <v>9</v>
      </c>
      <c r="B10" s="1" t="s">
        <v>532</v>
      </c>
      <c r="C10" s="4">
        <v>70044</v>
      </c>
      <c r="D10" s="4"/>
      <c r="E10" s="1" t="s">
        <v>231</v>
      </c>
      <c r="F10" s="179">
        <f>9367.67+7288.34</f>
        <v>16656.010000000002</v>
      </c>
      <c r="G10" s="177"/>
      <c r="H10" s="184">
        <v>6317.53</v>
      </c>
      <c r="I10" s="187">
        <v>6662.94</v>
      </c>
      <c r="J10" s="192">
        <v>10319.98</v>
      </c>
      <c r="K10" s="195">
        <v>4608.76</v>
      </c>
      <c r="L10" s="200">
        <v>3389.16</v>
      </c>
      <c r="M10" s="205">
        <v>3346.82</v>
      </c>
      <c r="N10" s="212">
        <v>4056.96</v>
      </c>
      <c r="O10" s="217">
        <v>7998.28</v>
      </c>
      <c r="P10" s="220">
        <v>8359.57</v>
      </c>
      <c r="Q10" s="176">
        <v>7383.14</v>
      </c>
      <c r="R10" s="172">
        <v>6914.19</v>
      </c>
      <c r="S10" s="8">
        <f t="shared" si="0"/>
        <v>86013.340000000011</v>
      </c>
      <c r="T10" s="1">
        <f t="shared" si="1"/>
        <v>12</v>
      </c>
      <c r="U10" s="31">
        <f t="shared" si="2"/>
        <v>7167.7783333333346</v>
      </c>
    </row>
    <row r="11" spans="1:21">
      <c r="A11" s="1">
        <v>10</v>
      </c>
      <c r="B11" s="1" t="s">
        <v>536</v>
      </c>
      <c r="C11" s="4">
        <v>70067</v>
      </c>
      <c r="D11" s="4"/>
      <c r="E11" s="1" t="s">
        <v>232</v>
      </c>
      <c r="F11" s="179">
        <v>4348.75</v>
      </c>
      <c r="G11" s="177"/>
      <c r="H11" s="184">
        <v>3537.16</v>
      </c>
      <c r="I11" s="187">
        <v>2968.61</v>
      </c>
      <c r="J11" s="192">
        <v>4333.87</v>
      </c>
      <c r="K11" s="195">
        <v>2364.0100000000002</v>
      </c>
      <c r="L11" s="200">
        <v>1892.71</v>
      </c>
      <c r="M11" s="205">
        <v>1802.34</v>
      </c>
      <c r="N11" s="212">
        <v>2200.08</v>
      </c>
      <c r="O11" s="217">
        <v>3769.13</v>
      </c>
      <c r="P11" s="220">
        <v>3290.73</v>
      </c>
      <c r="Q11" s="176">
        <v>3992.13</v>
      </c>
      <c r="R11" s="172">
        <v>3141.91</v>
      </c>
      <c r="S11" s="8">
        <f t="shared" si="0"/>
        <v>37641.429999999993</v>
      </c>
      <c r="T11" s="1">
        <f t="shared" si="1"/>
        <v>12</v>
      </c>
      <c r="U11" s="31">
        <f t="shared" si="2"/>
        <v>3136.7858333333329</v>
      </c>
    </row>
    <row r="12" spans="1:21">
      <c r="A12" s="1">
        <v>11</v>
      </c>
      <c r="B12" s="1" t="s">
        <v>532</v>
      </c>
      <c r="C12" s="4">
        <v>70075</v>
      </c>
      <c r="D12" s="4">
        <v>95</v>
      </c>
      <c r="E12" s="1" t="s">
        <v>234</v>
      </c>
      <c r="F12" s="179">
        <v>7748.55</v>
      </c>
      <c r="G12" s="177"/>
      <c r="H12" s="184">
        <v>6210.15</v>
      </c>
      <c r="I12" s="187">
        <v>6348.18</v>
      </c>
      <c r="J12" s="192">
        <v>7907.13</v>
      </c>
      <c r="K12" s="195">
        <v>5270.67</v>
      </c>
      <c r="L12" s="200">
        <v>4860.09</v>
      </c>
      <c r="M12" s="205">
        <v>5199.74</v>
      </c>
      <c r="N12" s="212">
        <v>5390.35</v>
      </c>
      <c r="O12" s="217">
        <v>7390.28</v>
      </c>
      <c r="P12" s="220">
        <v>7797.75</v>
      </c>
      <c r="Q12" s="176">
        <v>7127.73</v>
      </c>
      <c r="R12" s="172">
        <v>7304.45</v>
      </c>
      <c r="S12" s="8">
        <f t="shared" si="0"/>
        <v>78555.069999999992</v>
      </c>
      <c r="T12" s="1">
        <f t="shared" si="1"/>
        <v>12</v>
      </c>
      <c r="U12" s="31">
        <f t="shared" si="2"/>
        <v>6546.2558333333327</v>
      </c>
    </row>
    <row r="13" spans="1:21">
      <c r="A13" s="1">
        <v>12</v>
      </c>
      <c r="B13" s="1" t="s">
        <v>535</v>
      </c>
      <c r="C13" s="4">
        <v>70053</v>
      </c>
      <c r="D13" s="4">
        <v>96</v>
      </c>
      <c r="E13" s="1" t="s">
        <v>235</v>
      </c>
      <c r="F13" s="179">
        <v>16622.03</v>
      </c>
      <c r="G13" s="177"/>
      <c r="H13" s="184">
        <v>12669.9</v>
      </c>
      <c r="I13" s="187">
        <v>17492.14</v>
      </c>
      <c r="J13" s="192">
        <v>20897.8</v>
      </c>
      <c r="K13" s="195">
        <v>11877.79</v>
      </c>
      <c r="L13" s="200">
        <v>8108.78</v>
      </c>
      <c r="M13" s="205">
        <v>9699.74</v>
      </c>
      <c r="N13" s="212">
        <v>11773.68</v>
      </c>
      <c r="O13" s="217">
        <v>16275.67</v>
      </c>
      <c r="P13" s="220">
        <v>21652.85</v>
      </c>
      <c r="Q13" s="176">
        <v>17672.53</v>
      </c>
      <c r="R13" s="172">
        <v>14833.93</v>
      </c>
      <c r="S13" s="8">
        <f t="shared" si="0"/>
        <v>179576.84</v>
      </c>
      <c r="T13" s="1">
        <f t="shared" si="1"/>
        <v>12</v>
      </c>
      <c r="U13" s="31">
        <f t="shared" si="2"/>
        <v>14964.736666666666</v>
      </c>
    </row>
    <row r="14" spans="1:21">
      <c r="A14" s="1">
        <v>13</v>
      </c>
      <c r="B14" s="1" t="s">
        <v>530</v>
      </c>
      <c r="C14" s="4">
        <v>15021222</v>
      </c>
      <c r="D14" s="4">
        <v>97</v>
      </c>
      <c r="E14" s="1" t="s">
        <v>236</v>
      </c>
      <c r="F14" s="179">
        <v>14978.3</v>
      </c>
      <c r="G14" s="177"/>
      <c r="H14" s="184">
        <v>13756.81</v>
      </c>
      <c r="I14" s="187">
        <v>13606.47</v>
      </c>
      <c r="J14" s="192">
        <v>17859.45</v>
      </c>
      <c r="K14" s="195">
        <v>11901.69</v>
      </c>
      <c r="L14" s="200">
        <v>10775.59</v>
      </c>
      <c r="M14" s="205">
        <v>10950.87</v>
      </c>
      <c r="N14" s="212">
        <v>11698.19</v>
      </c>
      <c r="O14" s="217">
        <v>15128.38</v>
      </c>
      <c r="P14" s="220">
        <v>18131.64</v>
      </c>
      <c r="Q14" s="176">
        <v>15904.27</v>
      </c>
      <c r="R14" s="172">
        <v>14469.58</v>
      </c>
      <c r="S14" s="8">
        <f t="shared" si="0"/>
        <v>169161.24</v>
      </c>
      <c r="T14" s="1">
        <f t="shared" si="1"/>
        <v>12</v>
      </c>
      <c r="U14" s="31">
        <f t="shared" si="2"/>
        <v>14096.769999999999</v>
      </c>
    </row>
    <row r="15" spans="1:21">
      <c r="A15" s="1">
        <v>14</v>
      </c>
      <c r="B15" s="1" t="s">
        <v>537</v>
      </c>
      <c r="C15" s="4">
        <v>15026269</v>
      </c>
      <c r="D15" s="4"/>
      <c r="E15" s="1" t="s">
        <v>463</v>
      </c>
      <c r="F15" s="179">
        <f>13583.32+284.08+11792.02</f>
        <v>25659.42</v>
      </c>
      <c r="G15" s="177"/>
      <c r="H15" s="184">
        <v>10459.89</v>
      </c>
      <c r="I15" s="187">
        <v>14446.89</v>
      </c>
      <c r="J15" s="200">
        <v>18882.72</v>
      </c>
      <c r="K15" s="195">
        <v>11576.73</v>
      </c>
      <c r="L15" s="200">
        <v>7784.24</v>
      </c>
      <c r="M15" s="205">
        <v>9221.89</v>
      </c>
      <c r="N15" s="212">
        <v>11045.28</v>
      </c>
      <c r="O15" s="217">
        <v>15004.57</v>
      </c>
      <c r="P15" s="220">
        <v>19939.689999999999</v>
      </c>
      <c r="Q15" s="176">
        <v>16349.24</v>
      </c>
      <c r="R15" s="172">
        <v>14308.1</v>
      </c>
      <c r="S15" s="8">
        <f t="shared" si="0"/>
        <v>174678.66</v>
      </c>
      <c r="T15" s="1">
        <f t="shared" si="1"/>
        <v>12</v>
      </c>
      <c r="U15" s="31">
        <f t="shared" si="2"/>
        <v>14556.555</v>
      </c>
    </row>
    <row r="16" spans="1:21">
      <c r="A16" s="1">
        <v>15</v>
      </c>
      <c r="B16" s="1" t="s">
        <v>538</v>
      </c>
      <c r="C16" s="4">
        <v>70020</v>
      </c>
      <c r="D16" s="4"/>
      <c r="E16" s="1" t="s">
        <v>237</v>
      </c>
      <c r="F16" s="179">
        <v>8761.0499999999993</v>
      </c>
      <c r="G16" s="177"/>
      <c r="H16" s="184">
        <v>6789.44</v>
      </c>
      <c r="I16" s="187">
        <v>8420.8799999999992</v>
      </c>
      <c r="J16" s="192">
        <v>8420.8799999999992</v>
      </c>
      <c r="K16" s="195">
        <v>5451.91</v>
      </c>
      <c r="L16" s="200">
        <v>5327.13</v>
      </c>
      <c r="M16" s="205">
        <v>3041.56</v>
      </c>
      <c r="N16" s="212">
        <v>4409.5</v>
      </c>
      <c r="O16" s="217">
        <v>9198.75</v>
      </c>
      <c r="P16" s="220">
        <v>7017.75</v>
      </c>
      <c r="Q16" s="176">
        <v>6320.59</v>
      </c>
      <c r="R16" s="172">
        <v>9390.7199999999993</v>
      </c>
      <c r="S16" s="8">
        <f t="shared" si="0"/>
        <v>82550.159999999974</v>
      </c>
      <c r="T16" s="1">
        <f t="shared" si="1"/>
        <v>12</v>
      </c>
      <c r="U16" s="31">
        <f t="shared" si="2"/>
        <v>6879.1799999999976</v>
      </c>
    </row>
    <row r="17" spans="1:22">
      <c r="A17" s="1">
        <v>16</v>
      </c>
      <c r="C17" s="164">
        <v>15006166</v>
      </c>
      <c r="D17" s="4"/>
      <c r="E17" s="1" t="s">
        <v>238</v>
      </c>
      <c r="F17" s="180"/>
      <c r="G17" s="175"/>
      <c r="H17" s="185"/>
      <c r="I17" s="189"/>
      <c r="J17" s="193"/>
      <c r="K17" s="196"/>
      <c r="L17" s="201"/>
      <c r="M17" s="206"/>
      <c r="N17" s="211"/>
      <c r="O17" s="218"/>
      <c r="P17" s="222"/>
      <c r="Q17" s="175"/>
      <c r="R17" s="173"/>
      <c r="S17" s="8">
        <f t="shared" si="0"/>
        <v>0</v>
      </c>
      <c r="T17" s="1">
        <f t="shared" si="1"/>
        <v>0</v>
      </c>
      <c r="U17" s="31" t="e">
        <f t="shared" si="2"/>
        <v>#DIV/0!</v>
      </c>
    </row>
    <row r="18" spans="1:22">
      <c r="A18" s="1">
        <v>17</v>
      </c>
      <c r="B18" s="1" t="s">
        <v>536</v>
      </c>
      <c r="C18" s="4">
        <v>15007853</v>
      </c>
      <c r="D18" s="4"/>
      <c r="E18" s="1" t="s">
        <v>111</v>
      </c>
      <c r="F18" s="179">
        <v>3312.41</v>
      </c>
      <c r="G18" s="177"/>
      <c r="H18" s="184">
        <v>2966.51</v>
      </c>
      <c r="I18" s="187">
        <v>2819.13</v>
      </c>
      <c r="J18" s="192">
        <v>3840.54</v>
      </c>
      <c r="K18" s="195">
        <v>2250.2399999999998</v>
      </c>
      <c r="L18" s="200">
        <v>2107.56</v>
      </c>
      <c r="M18" s="205">
        <v>1988.13</v>
      </c>
      <c r="N18" s="212">
        <v>1877.66</v>
      </c>
      <c r="O18" s="176"/>
      <c r="P18" s="220">
        <v>4214</v>
      </c>
      <c r="Q18" s="176">
        <v>3094.29</v>
      </c>
      <c r="R18" s="172">
        <v>2686.43</v>
      </c>
      <c r="S18" s="8">
        <f t="shared" si="0"/>
        <v>31156.9</v>
      </c>
      <c r="T18" s="1">
        <f t="shared" si="1"/>
        <v>11</v>
      </c>
      <c r="U18" s="31">
        <f t="shared" si="2"/>
        <v>2832.4454545454546</v>
      </c>
    </row>
    <row r="19" spans="1:22">
      <c r="A19" s="1">
        <v>18</v>
      </c>
      <c r="B19" s="1" t="s">
        <v>539</v>
      </c>
      <c r="C19" s="4">
        <v>70007</v>
      </c>
      <c r="D19" s="4">
        <v>99</v>
      </c>
      <c r="E19" s="1" t="s">
        <v>239</v>
      </c>
      <c r="F19" s="179">
        <v>565.5</v>
      </c>
      <c r="G19" s="177"/>
      <c r="H19" s="184">
        <v>570</v>
      </c>
      <c r="I19" s="187">
        <v>579</v>
      </c>
      <c r="J19" s="192">
        <v>576.6</v>
      </c>
      <c r="K19" s="195">
        <v>567</v>
      </c>
      <c r="L19" s="200">
        <v>549</v>
      </c>
      <c r="M19" s="205">
        <v>531</v>
      </c>
      <c r="N19" s="217">
        <v>529.5</v>
      </c>
      <c r="O19" s="217">
        <v>537</v>
      </c>
      <c r="P19" s="220">
        <v>543</v>
      </c>
      <c r="Q19" s="176">
        <v>555</v>
      </c>
      <c r="R19" s="172">
        <v>559.5</v>
      </c>
      <c r="S19" s="8">
        <f t="shared" si="0"/>
        <v>6662.1</v>
      </c>
      <c r="T19" s="1">
        <f t="shared" si="1"/>
        <v>12</v>
      </c>
      <c r="U19" s="31">
        <f t="shared" si="2"/>
        <v>555.17500000000007</v>
      </c>
    </row>
    <row r="20" spans="1:22">
      <c r="A20" s="1">
        <v>19</v>
      </c>
      <c r="B20" s="1" t="s">
        <v>536</v>
      </c>
      <c r="C20" s="4">
        <v>15010839</v>
      </c>
      <c r="D20" s="4"/>
      <c r="E20" s="1" t="s">
        <v>300</v>
      </c>
      <c r="F20" s="179">
        <v>11482.99</v>
      </c>
      <c r="G20" s="177"/>
      <c r="H20" s="184">
        <v>8390.69</v>
      </c>
      <c r="I20" s="187">
        <v>8678.65</v>
      </c>
      <c r="J20" s="192">
        <v>12984.74</v>
      </c>
      <c r="K20" s="195">
        <v>5926.54</v>
      </c>
      <c r="L20" s="200">
        <v>4963.2</v>
      </c>
      <c r="M20" s="205">
        <v>4743.8999999999996</v>
      </c>
      <c r="N20" s="212">
        <v>6386.53</v>
      </c>
      <c r="O20" s="217">
        <v>10504.86</v>
      </c>
      <c r="P20" s="220">
        <v>14598.45</v>
      </c>
      <c r="Q20" s="176">
        <v>11759.82</v>
      </c>
      <c r="R20" s="172">
        <v>11951.74</v>
      </c>
      <c r="S20" s="8">
        <f t="shared" si="0"/>
        <v>112372.11</v>
      </c>
      <c r="T20" s="1">
        <f t="shared" si="1"/>
        <v>12</v>
      </c>
      <c r="U20" s="31">
        <f t="shared" si="2"/>
        <v>9364.3425000000007</v>
      </c>
    </row>
    <row r="21" spans="1:22">
      <c r="A21" s="1">
        <v>20</v>
      </c>
      <c r="B21" s="1" t="s">
        <v>533</v>
      </c>
      <c r="C21" s="4">
        <v>15005502</v>
      </c>
      <c r="D21" s="4">
        <v>137</v>
      </c>
      <c r="E21" s="1" t="s">
        <v>240</v>
      </c>
      <c r="F21" s="179">
        <v>25409.82</v>
      </c>
      <c r="G21" s="177"/>
      <c r="H21" s="184">
        <v>21542.1</v>
      </c>
      <c r="I21" s="187">
        <v>24306.84</v>
      </c>
      <c r="J21" s="192">
        <v>28793.22</v>
      </c>
      <c r="K21" s="195">
        <v>20641.2</v>
      </c>
      <c r="L21" s="200">
        <v>17244.84</v>
      </c>
      <c r="M21" s="205">
        <v>15520.08</v>
      </c>
      <c r="N21" s="212">
        <v>21270.6</v>
      </c>
      <c r="O21" s="217">
        <v>24529.38</v>
      </c>
      <c r="P21" s="220">
        <v>29445.3</v>
      </c>
      <c r="Q21" s="176">
        <v>27005.5</v>
      </c>
      <c r="R21" s="172">
        <v>22605.24</v>
      </c>
      <c r="S21" s="8">
        <f t="shared" si="0"/>
        <v>278314.12</v>
      </c>
      <c r="T21" s="1">
        <f t="shared" si="1"/>
        <v>12</v>
      </c>
      <c r="U21" s="31">
        <f t="shared" si="2"/>
        <v>23192.843333333334</v>
      </c>
    </row>
    <row r="22" spans="1:22">
      <c r="A22" s="1">
        <v>21</v>
      </c>
      <c r="B22" s="1" t="s">
        <v>536</v>
      </c>
      <c r="C22" s="4">
        <v>70008</v>
      </c>
      <c r="D22" s="4">
        <v>100</v>
      </c>
      <c r="E22" s="1" t="s">
        <v>241</v>
      </c>
      <c r="F22" s="179">
        <v>3104.03</v>
      </c>
      <c r="G22" s="177"/>
      <c r="H22" s="184">
        <v>2936.89</v>
      </c>
      <c r="I22" s="187">
        <v>2063.81</v>
      </c>
      <c r="J22" s="192">
        <v>3061.09</v>
      </c>
      <c r="K22" s="195">
        <v>2091.38</v>
      </c>
      <c r="L22" s="200">
        <v>1819.89</v>
      </c>
      <c r="M22" s="205">
        <v>1926.74</v>
      </c>
      <c r="N22" s="217">
        <v>2025.74</v>
      </c>
      <c r="O22" s="217">
        <v>2816.37</v>
      </c>
      <c r="P22" s="220">
        <v>5272.4</v>
      </c>
      <c r="Q22" s="176">
        <v>3098.63</v>
      </c>
      <c r="R22" s="172">
        <v>3039.63</v>
      </c>
      <c r="S22" s="8">
        <f t="shared" si="0"/>
        <v>33256.600000000006</v>
      </c>
      <c r="T22" s="1">
        <f t="shared" si="1"/>
        <v>12</v>
      </c>
      <c r="U22" s="31">
        <f t="shared" si="2"/>
        <v>2771.3833333333337</v>
      </c>
    </row>
    <row r="23" spans="1:22">
      <c r="A23" s="1">
        <v>22</v>
      </c>
      <c r="B23" s="1" t="s">
        <v>540</v>
      </c>
      <c r="C23" s="42">
        <v>70081</v>
      </c>
      <c r="D23" s="42">
        <v>140</v>
      </c>
      <c r="E23" s="11" t="s">
        <v>384</v>
      </c>
      <c r="F23" s="179">
        <v>30895.5</v>
      </c>
      <c r="G23" s="177"/>
      <c r="H23" s="184">
        <v>29773.83</v>
      </c>
      <c r="I23" s="187">
        <v>37571.660000000003</v>
      </c>
      <c r="J23" s="192">
        <v>49291.1</v>
      </c>
      <c r="K23" s="195">
        <v>25590.54</v>
      </c>
      <c r="L23" s="200">
        <v>19782.259999999998</v>
      </c>
      <c r="M23" s="205">
        <v>19238.95</v>
      </c>
      <c r="N23" s="212">
        <v>20700.490000000002</v>
      </c>
      <c r="O23" s="217">
        <v>44186.81</v>
      </c>
      <c r="P23" s="220">
        <v>42898.26</v>
      </c>
      <c r="Q23" s="176">
        <v>42178.09</v>
      </c>
      <c r="R23" s="172">
        <v>38176.18</v>
      </c>
      <c r="S23" s="8">
        <f>+SUM(F23:R23)</f>
        <v>400283.67</v>
      </c>
      <c r="T23" s="1">
        <f>COUNT(F23:R23)</f>
        <v>12</v>
      </c>
      <c r="U23" s="31">
        <f>+S23/T23</f>
        <v>33356.972499999996</v>
      </c>
    </row>
    <row r="24" spans="1:22">
      <c r="A24" s="1">
        <v>23</v>
      </c>
      <c r="B24" s="1" t="s">
        <v>532</v>
      </c>
      <c r="C24" s="4">
        <v>15030830</v>
      </c>
      <c r="D24" s="4"/>
      <c r="E24" s="1" t="s">
        <v>482</v>
      </c>
      <c r="F24" s="179">
        <v>1401.6</v>
      </c>
      <c r="G24" s="177"/>
      <c r="H24" s="184">
        <v>985.92</v>
      </c>
      <c r="I24" s="187">
        <v>1470.48</v>
      </c>
      <c r="J24" s="192">
        <v>2326.98</v>
      </c>
      <c r="K24" s="195">
        <v>1630.14</v>
      </c>
      <c r="L24" s="200">
        <v>1754.88</v>
      </c>
      <c r="M24" s="205">
        <v>1685.64</v>
      </c>
      <c r="N24" s="212">
        <v>2091.54</v>
      </c>
      <c r="O24" s="217">
        <v>3816.84</v>
      </c>
      <c r="P24" s="220">
        <v>3443.7</v>
      </c>
      <c r="Q24" s="176">
        <v>2622.48</v>
      </c>
      <c r="R24" s="172">
        <v>3149.97</v>
      </c>
      <c r="S24" s="8">
        <f>+SUM(F24:R24)</f>
        <v>26380.170000000002</v>
      </c>
      <c r="T24" s="1">
        <f>COUNT(F24:R24)</f>
        <v>12</v>
      </c>
      <c r="U24" s="31">
        <f>+S24/T24</f>
        <v>2198.3475000000003</v>
      </c>
    </row>
    <row r="25" spans="1:22">
      <c r="A25" s="1">
        <v>24</v>
      </c>
      <c r="B25" s="1" t="s">
        <v>541</v>
      </c>
      <c r="C25" s="4">
        <v>70072</v>
      </c>
      <c r="D25" s="4">
        <v>102</v>
      </c>
      <c r="E25" s="1" t="s">
        <v>242</v>
      </c>
      <c r="F25" s="179">
        <v>5874.06</v>
      </c>
      <c r="G25" s="177"/>
      <c r="H25" s="184">
        <v>5316.11</v>
      </c>
      <c r="I25" s="187">
        <v>6293.62</v>
      </c>
      <c r="J25" s="192">
        <v>6364.12</v>
      </c>
      <c r="K25" s="195">
        <v>5054.09</v>
      </c>
      <c r="L25" s="200">
        <v>2991.63</v>
      </c>
      <c r="M25" s="205">
        <v>4733.8599999999997</v>
      </c>
      <c r="N25" s="212">
        <v>3068.24</v>
      </c>
      <c r="O25" s="217">
        <v>5110.32</v>
      </c>
      <c r="P25" s="220">
        <v>7028.63</v>
      </c>
      <c r="Q25" s="176">
        <v>6002.69</v>
      </c>
      <c r="R25" s="172">
        <v>5133.03</v>
      </c>
      <c r="S25" s="8">
        <f t="shared" si="0"/>
        <v>62970.399999999994</v>
      </c>
      <c r="T25" s="1">
        <f t="shared" si="1"/>
        <v>12</v>
      </c>
      <c r="U25" s="31">
        <f t="shared" si="2"/>
        <v>5247.5333333333328</v>
      </c>
    </row>
    <row r="26" spans="1:22">
      <c r="A26" s="1">
        <v>25</v>
      </c>
      <c r="B26" s="1" t="s">
        <v>540</v>
      </c>
      <c r="C26" s="4">
        <v>15006827</v>
      </c>
      <c r="D26" s="4">
        <v>4124</v>
      </c>
      <c r="E26" s="1" t="s">
        <v>344</v>
      </c>
      <c r="F26" s="179">
        <v>16579.490000000002</v>
      </c>
      <c r="G26" s="177"/>
      <c r="H26" s="184">
        <v>14604.27</v>
      </c>
      <c r="I26" s="187">
        <v>13752.52</v>
      </c>
      <c r="J26" s="192">
        <v>17968.02</v>
      </c>
      <c r="K26" s="195">
        <v>10469.82</v>
      </c>
      <c r="L26" s="200">
        <v>7956</v>
      </c>
      <c r="M26" s="205">
        <v>8411.2199999999993</v>
      </c>
      <c r="N26" s="212">
        <v>9932.1</v>
      </c>
      <c r="O26" s="217">
        <v>14887.54</v>
      </c>
      <c r="P26" s="220">
        <v>18673.439999999999</v>
      </c>
      <c r="Q26" s="176">
        <v>17838.830000000002</v>
      </c>
      <c r="R26" s="172">
        <v>17016.3</v>
      </c>
      <c r="S26" s="8">
        <f t="shared" si="0"/>
        <v>168089.55</v>
      </c>
      <c r="T26" s="1">
        <f t="shared" si="1"/>
        <v>12</v>
      </c>
      <c r="U26" s="31">
        <f t="shared" si="2"/>
        <v>14007.4625</v>
      </c>
    </row>
    <row r="27" spans="1:22">
      <c r="A27" s="1">
        <v>26</v>
      </c>
      <c r="B27" s="1" t="s">
        <v>532</v>
      </c>
      <c r="C27" s="4">
        <v>15007588</v>
      </c>
      <c r="D27" s="4"/>
      <c r="E27" s="1" t="s">
        <v>246</v>
      </c>
      <c r="F27" s="179">
        <v>19608.66</v>
      </c>
      <c r="G27" s="177"/>
      <c r="H27" s="184">
        <v>16962.78</v>
      </c>
      <c r="I27" s="187">
        <v>16720.32</v>
      </c>
      <c r="J27" s="192">
        <v>21803.58</v>
      </c>
      <c r="K27" s="195">
        <v>14144.46</v>
      </c>
      <c r="L27" s="200">
        <v>12289.56</v>
      </c>
      <c r="M27" s="205">
        <v>12511.86</v>
      </c>
      <c r="N27" s="212">
        <v>12490.62</v>
      </c>
      <c r="O27" s="217">
        <v>19337.82</v>
      </c>
      <c r="P27" s="220">
        <v>22534.91</v>
      </c>
      <c r="Q27" s="176">
        <v>19752.07</v>
      </c>
      <c r="R27" s="172">
        <v>18660.87</v>
      </c>
      <c r="S27" s="8">
        <f>+SUM(F27:R27)</f>
        <v>206817.50999999998</v>
      </c>
      <c r="T27" s="1">
        <f>COUNT(F27:R27)</f>
        <v>12</v>
      </c>
      <c r="U27" s="31">
        <f>+S27/T27</f>
        <v>17234.7925</v>
      </c>
    </row>
    <row r="28" spans="1:22">
      <c r="A28" s="1">
        <v>27</v>
      </c>
      <c r="C28" s="164">
        <v>7001601</v>
      </c>
      <c r="D28" s="4">
        <v>138</v>
      </c>
      <c r="E28" s="1" t="s">
        <v>243</v>
      </c>
      <c r="F28" s="180"/>
      <c r="G28" s="176"/>
      <c r="H28" s="185"/>
      <c r="I28" s="189"/>
      <c r="J28" s="193"/>
      <c r="K28" s="196"/>
      <c r="L28" s="201"/>
      <c r="M28" s="206"/>
      <c r="N28" s="211"/>
      <c r="O28" s="218"/>
      <c r="P28" s="222"/>
      <c r="Q28" s="175"/>
      <c r="R28" s="172">
        <v>11764.88</v>
      </c>
      <c r="S28" s="8">
        <f>+SUM(F28:R28)</f>
        <v>11764.88</v>
      </c>
      <c r="T28" s="1">
        <f>COUNT(F28:R28)</f>
        <v>1</v>
      </c>
      <c r="U28" s="31">
        <f t="shared" si="2"/>
        <v>11764.88</v>
      </c>
    </row>
    <row r="29" spans="1:22">
      <c r="A29" s="1">
        <v>28</v>
      </c>
      <c r="B29" s="1" t="s">
        <v>531</v>
      </c>
      <c r="C29" s="4">
        <v>15004535</v>
      </c>
      <c r="D29" s="4">
        <v>124</v>
      </c>
      <c r="E29" s="1" t="s">
        <v>112</v>
      </c>
      <c r="F29" s="179">
        <v>2172.13</v>
      </c>
      <c r="G29" s="177"/>
      <c r="H29" s="184">
        <v>1901.89</v>
      </c>
      <c r="I29" s="187">
        <v>3183.3</v>
      </c>
      <c r="J29" s="192">
        <v>6074.55</v>
      </c>
      <c r="K29" s="195">
        <v>1872.87</v>
      </c>
      <c r="L29" s="200">
        <v>1442.52</v>
      </c>
      <c r="M29" s="205">
        <v>1594.63</v>
      </c>
      <c r="N29" s="212">
        <v>1704.15</v>
      </c>
      <c r="O29" s="217">
        <v>3672.15</v>
      </c>
      <c r="P29" s="220">
        <f>4932.6+3672.15</f>
        <v>8604.75</v>
      </c>
      <c r="Q29" s="176">
        <v>4272.95</v>
      </c>
      <c r="R29" s="172">
        <v>-3672.15</v>
      </c>
      <c r="S29" s="8">
        <f t="shared" si="0"/>
        <v>32823.740000000005</v>
      </c>
      <c r="T29" s="1">
        <f t="shared" si="1"/>
        <v>12</v>
      </c>
      <c r="U29" s="31">
        <f t="shared" si="2"/>
        <v>2735.311666666667</v>
      </c>
      <c r="V29" s="172">
        <f>-3672.15+3372.93</f>
        <v>-299.22000000000025</v>
      </c>
    </row>
    <row r="30" spans="1:22">
      <c r="A30" s="1">
        <v>28</v>
      </c>
      <c r="B30" s="1" t="s">
        <v>531</v>
      </c>
      <c r="C30" s="4">
        <v>15004535</v>
      </c>
      <c r="D30" s="4">
        <v>124</v>
      </c>
      <c r="E30" s="1" t="s">
        <v>112</v>
      </c>
      <c r="F30" s="179"/>
      <c r="G30" s="177"/>
      <c r="H30" s="184"/>
      <c r="I30" s="187"/>
      <c r="J30" s="192"/>
      <c r="K30" s="195"/>
      <c r="L30" s="200"/>
      <c r="M30" s="205"/>
      <c r="N30" s="212"/>
      <c r="O30" s="217"/>
      <c r="P30" s="220"/>
      <c r="Q30" s="176"/>
      <c r="R30" s="181">
        <v>3372.93</v>
      </c>
      <c r="S30" s="8"/>
      <c r="U30" s="31"/>
      <c r="V30" s="172"/>
    </row>
    <row r="31" spans="1:22">
      <c r="A31" s="1">
        <v>29</v>
      </c>
      <c r="B31" s="1" t="s">
        <v>531</v>
      </c>
      <c r="C31" s="4">
        <v>70035</v>
      </c>
      <c r="D31" s="4">
        <v>136</v>
      </c>
      <c r="E31" s="1" t="s">
        <v>350</v>
      </c>
      <c r="F31" s="179">
        <v>53435.4</v>
      </c>
      <c r="G31" s="177"/>
      <c r="H31" s="184">
        <v>52347.54</v>
      </c>
      <c r="I31" s="187">
        <v>56971.02</v>
      </c>
      <c r="J31" s="192">
        <v>75231.06</v>
      </c>
      <c r="K31" s="195">
        <v>39514.26</v>
      </c>
      <c r="L31" s="200">
        <v>35414.94</v>
      </c>
      <c r="M31" s="205">
        <v>37177.56</v>
      </c>
      <c r="N31" s="212">
        <v>48338.16</v>
      </c>
      <c r="O31" s="217">
        <v>62725.8</v>
      </c>
      <c r="P31" s="220">
        <v>78410.16</v>
      </c>
      <c r="Q31" s="176">
        <v>65345.04</v>
      </c>
      <c r="R31" s="172">
        <v>56186.46</v>
      </c>
      <c r="S31" s="8">
        <f>+SUM(F31:R31)</f>
        <v>661097.39999999991</v>
      </c>
      <c r="T31" s="1">
        <f>COUNT(F31:R31)</f>
        <v>12</v>
      </c>
      <c r="U31" s="31">
        <f>+S31/T31</f>
        <v>55091.44999999999</v>
      </c>
    </row>
    <row r="32" spans="1:22">
      <c r="A32" s="1">
        <v>30</v>
      </c>
      <c r="C32" s="4">
        <v>70079</v>
      </c>
      <c r="D32" s="4">
        <v>129</v>
      </c>
      <c r="E32" s="1" t="s">
        <v>247</v>
      </c>
      <c r="F32" s="179">
        <v>14441.29</v>
      </c>
      <c r="G32" s="177"/>
      <c r="H32" s="184">
        <v>12101.33</v>
      </c>
      <c r="I32" s="187">
        <v>13084.83</v>
      </c>
      <c r="J32" s="192">
        <v>16966.02</v>
      </c>
      <c r="K32" s="195">
        <v>11050.67</v>
      </c>
      <c r="L32" s="200">
        <v>8952.7900000000009</v>
      </c>
      <c r="M32" s="205">
        <v>9901.2900000000009</v>
      </c>
      <c r="N32" s="212">
        <v>9825.89</v>
      </c>
      <c r="O32" s="217">
        <v>14839.92</v>
      </c>
      <c r="P32" s="220">
        <v>17132.37</v>
      </c>
      <c r="Q32" s="176">
        <v>14422.57</v>
      </c>
      <c r="R32" s="172">
        <v>12897.8</v>
      </c>
      <c r="S32" s="8">
        <f t="shared" si="0"/>
        <v>155616.76999999999</v>
      </c>
      <c r="T32" s="1">
        <f t="shared" si="1"/>
        <v>12</v>
      </c>
      <c r="U32" s="31">
        <f t="shared" si="2"/>
        <v>12968.064166666665</v>
      </c>
    </row>
    <row r="33" spans="1:21">
      <c r="A33" s="1">
        <v>31</v>
      </c>
      <c r="B33" s="1" t="s">
        <v>541</v>
      </c>
      <c r="C33" s="4">
        <v>70017</v>
      </c>
      <c r="D33" s="4">
        <v>130</v>
      </c>
      <c r="E33" s="1" t="s">
        <v>248</v>
      </c>
      <c r="F33" s="179">
        <v>28516.74</v>
      </c>
      <c r="G33" s="177"/>
      <c r="H33" s="184">
        <v>24160.799999999999</v>
      </c>
      <c r="I33" s="187">
        <v>28846.38</v>
      </c>
      <c r="J33" s="192">
        <v>35991.839999999997</v>
      </c>
      <c r="K33" s="220">
        <v>20065.560000000001</v>
      </c>
      <c r="L33" s="220">
        <v>14984.28</v>
      </c>
      <c r="M33" s="220">
        <v>17429.52</v>
      </c>
      <c r="N33" s="220">
        <v>19302.240000000002</v>
      </c>
      <c r="O33" s="220">
        <v>25834.26</v>
      </c>
      <c r="P33" s="220">
        <v>33429.96</v>
      </c>
      <c r="Q33" s="176">
        <f>13747.04+33074.34</f>
        <v>46821.38</v>
      </c>
      <c r="R33" s="172">
        <v>24848.240000000002</v>
      </c>
      <c r="S33" s="8">
        <f t="shared" si="0"/>
        <v>320231.19999999995</v>
      </c>
      <c r="T33" s="1">
        <f t="shared" si="1"/>
        <v>12</v>
      </c>
      <c r="U33" s="31">
        <f t="shared" si="2"/>
        <v>26685.933333333331</v>
      </c>
    </row>
    <row r="34" spans="1:21">
      <c r="A34" s="1">
        <v>32</v>
      </c>
      <c r="B34" s="1" t="s">
        <v>543</v>
      </c>
      <c r="C34" s="4">
        <v>70095</v>
      </c>
      <c r="D34" s="4"/>
      <c r="E34" s="1" t="s">
        <v>249</v>
      </c>
      <c r="F34" s="179">
        <v>13974.97</v>
      </c>
      <c r="G34" s="177"/>
      <c r="H34" s="184">
        <v>12532.43</v>
      </c>
      <c r="I34" s="187">
        <v>13158.6</v>
      </c>
      <c r="J34" s="192">
        <v>18311.599999999999</v>
      </c>
      <c r="K34" s="195">
        <v>11053.78</v>
      </c>
      <c r="L34" s="200">
        <v>10077.58</v>
      </c>
      <c r="M34" s="205">
        <v>10875.41</v>
      </c>
      <c r="N34" s="212">
        <v>12202.4</v>
      </c>
      <c r="O34" s="217">
        <v>14326.68</v>
      </c>
      <c r="P34" s="220">
        <v>17851.59</v>
      </c>
      <c r="Q34" s="176">
        <v>15192.63</v>
      </c>
      <c r="R34" s="172">
        <v>15095.64</v>
      </c>
      <c r="S34" s="8">
        <f t="shared" si="0"/>
        <v>164653.31</v>
      </c>
      <c r="T34" s="1">
        <f t="shared" si="1"/>
        <v>12</v>
      </c>
      <c r="U34" s="31">
        <f t="shared" si="2"/>
        <v>13721.109166666667</v>
      </c>
    </row>
    <row r="35" spans="1:21">
      <c r="A35" s="1">
        <v>33</v>
      </c>
      <c r="B35" s="1" t="s">
        <v>542</v>
      </c>
      <c r="C35" s="4">
        <v>15006999</v>
      </c>
      <c r="D35" s="4"/>
      <c r="E35" s="1" t="s">
        <v>322</v>
      </c>
      <c r="F35" s="179">
        <v>13876.13</v>
      </c>
      <c r="G35" s="177"/>
      <c r="H35" s="184">
        <v>12848.63</v>
      </c>
      <c r="I35" s="187">
        <v>12536.38</v>
      </c>
      <c r="J35" s="192">
        <v>15262.41</v>
      </c>
      <c r="K35" s="195">
        <v>10686.47</v>
      </c>
      <c r="L35" s="200">
        <v>8453.08</v>
      </c>
      <c r="M35" s="205">
        <v>11089.72</v>
      </c>
      <c r="N35" s="212">
        <v>11562.52</v>
      </c>
      <c r="O35" s="217">
        <v>13187.31</v>
      </c>
      <c r="P35" s="220">
        <v>15032.88</v>
      </c>
      <c r="Q35" s="176">
        <v>13937.65</v>
      </c>
      <c r="R35" s="172">
        <v>12652.5</v>
      </c>
      <c r="S35" s="8">
        <f t="shared" si="0"/>
        <v>151125.68000000002</v>
      </c>
      <c r="T35" s="1">
        <f t="shared" si="1"/>
        <v>12</v>
      </c>
      <c r="U35" s="31">
        <f t="shared" si="2"/>
        <v>12593.806666666669</v>
      </c>
    </row>
    <row r="36" spans="1:21">
      <c r="A36" s="1">
        <v>34</v>
      </c>
      <c r="B36" s="1" t="s">
        <v>541</v>
      </c>
      <c r="C36" s="4">
        <v>70092</v>
      </c>
      <c r="D36" s="4">
        <v>569</v>
      </c>
      <c r="E36" s="1" t="s">
        <v>93</v>
      </c>
      <c r="F36" s="179">
        <v>10731.86</v>
      </c>
      <c r="G36" s="177"/>
      <c r="H36" s="184">
        <v>13811.69</v>
      </c>
      <c r="I36" s="192">
        <f>12478.31+13607.84</f>
        <v>26086.15</v>
      </c>
      <c r="J36" s="202">
        <v>16892.04</v>
      </c>
      <c r="K36" s="200">
        <v>11277.65</v>
      </c>
      <c r="L36" s="212">
        <v>7823.98</v>
      </c>
      <c r="M36" s="217">
        <v>10616.01</v>
      </c>
      <c r="N36" s="220">
        <v>11632.26</v>
      </c>
      <c r="O36" s="176">
        <v>14752.73</v>
      </c>
      <c r="P36" s="181">
        <v>14639.68</v>
      </c>
      <c r="Q36" s="176"/>
      <c r="R36" s="181">
        <v>13818.46</v>
      </c>
      <c r="S36" s="8">
        <f>+SUM(F36:R36)</f>
        <v>152082.50999999998</v>
      </c>
      <c r="T36" s="1">
        <f>COUNT(F36:R36)</f>
        <v>11</v>
      </c>
      <c r="U36" s="31">
        <f t="shared" si="2"/>
        <v>13825.682727272726</v>
      </c>
    </row>
    <row r="37" spans="1:21">
      <c r="A37" s="1">
        <v>35</v>
      </c>
      <c r="B37" s="1" t="s">
        <v>530</v>
      </c>
      <c r="C37" s="4">
        <v>70099</v>
      </c>
      <c r="D37" s="4">
        <v>3583</v>
      </c>
      <c r="E37" s="1" t="s">
        <v>105</v>
      </c>
      <c r="F37" s="179">
        <v>15795.83</v>
      </c>
      <c r="G37" s="177"/>
      <c r="H37" s="184">
        <v>11597.25</v>
      </c>
      <c r="I37" s="187">
        <v>13066.96</v>
      </c>
      <c r="J37" s="192">
        <v>17259.3</v>
      </c>
      <c r="K37" s="195">
        <v>11856.05</v>
      </c>
      <c r="L37" s="200">
        <v>8241.01</v>
      </c>
      <c r="M37" s="205">
        <v>9660.8700000000008</v>
      </c>
      <c r="N37" s="212">
        <v>10874.98</v>
      </c>
      <c r="O37" s="217">
        <v>13642.43</v>
      </c>
      <c r="P37" s="220">
        <v>16928.38</v>
      </c>
      <c r="Q37" s="176">
        <v>14929.82</v>
      </c>
      <c r="R37" s="172">
        <v>14086.22</v>
      </c>
      <c r="S37" s="8">
        <f t="shared" si="0"/>
        <v>157939.1</v>
      </c>
      <c r="T37" s="1">
        <f t="shared" si="1"/>
        <v>12</v>
      </c>
      <c r="U37" s="31">
        <f t="shared" si="2"/>
        <v>13161.591666666667</v>
      </c>
    </row>
    <row r="38" spans="1:21">
      <c r="A38" s="1">
        <v>36</v>
      </c>
      <c r="B38" s="1" t="s">
        <v>530</v>
      </c>
      <c r="C38" s="4">
        <v>15006238</v>
      </c>
      <c r="D38" s="4">
        <v>4074</v>
      </c>
      <c r="E38" s="1" t="s">
        <v>325</v>
      </c>
      <c r="F38" s="179">
        <v>19154.87</v>
      </c>
      <c r="G38" s="177"/>
      <c r="H38" s="184">
        <v>15773.65</v>
      </c>
      <c r="I38" s="187">
        <v>17874.849999999999</v>
      </c>
      <c r="J38" s="192">
        <v>21717.09</v>
      </c>
      <c r="K38" s="195">
        <v>14339.31</v>
      </c>
      <c r="L38" s="200">
        <v>11337.17</v>
      </c>
      <c r="M38" s="205">
        <v>11531.31</v>
      </c>
      <c r="N38" s="212">
        <v>13642.71</v>
      </c>
      <c r="O38" s="217">
        <v>18969.099999999999</v>
      </c>
      <c r="P38" s="220">
        <v>22702.29</v>
      </c>
      <c r="Q38" s="176">
        <v>19121.16</v>
      </c>
      <c r="R38" s="172">
        <v>19117.73</v>
      </c>
      <c r="S38" s="8">
        <f t="shared" si="0"/>
        <v>205281.24000000002</v>
      </c>
      <c r="T38" s="1">
        <f t="shared" si="1"/>
        <v>12</v>
      </c>
      <c r="U38" s="31">
        <f t="shared" si="2"/>
        <v>17106.77</v>
      </c>
    </row>
    <row r="39" spans="1:21">
      <c r="A39" s="1">
        <v>37</v>
      </c>
      <c r="B39" s="1" t="s">
        <v>531</v>
      </c>
      <c r="C39" s="4">
        <v>70021</v>
      </c>
      <c r="D39" s="4">
        <v>645</v>
      </c>
      <c r="E39" s="1" t="s">
        <v>253</v>
      </c>
      <c r="F39" s="179">
        <v>44584.14</v>
      </c>
      <c r="G39" s="177"/>
      <c r="H39" s="184">
        <v>39109.379999999997</v>
      </c>
      <c r="I39" s="187">
        <v>52785.72</v>
      </c>
      <c r="J39" s="192">
        <v>73176.78</v>
      </c>
      <c r="K39" s="195">
        <v>40180.199999999997</v>
      </c>
      <c r="L39" s="200">
        <v>32952.36</v>
      </c>
      <c r="M39" s="205">
        <v>32122.62</v>
      </c>
      <c r="N39" s="212">
        <v>41867.46</v>
      </c>
      <c r="O39" s="217">
        <v>58119.12</v>
      </c>
      <c r="P39" s="220">
        <v>80245.5</v>
      </c>
      <c r="Q39" s="176">
        <v>59919.72</v>
      </c>
      <c r="R39" s="172">
        <v>48842.94</v>
      </c>
      <c r="S39" s="8">
        <f t="shared" si="0"/>
        <v>603905.93999999994</v>
      </c>
      <c r="T39" s="1">
        <f t="shared" si="1"/>
        <v>12</v>
      </c>
      <c r="U39" s="31">
        <f t="shared" si="2"/>
        <v>50325.494999999995</v>
      </c>
    </row>
    <row r="40" spans="1:21">
      <c r="A40" s="1">
        <v>38</v>
      </c>
      <c r="B40" s="1" t="s">
        <v>540</v>
      </c>
      <c r="C40" s="4">
        <v>7002501</v>
      </c>
      <c r="D40" s="4"/>
      <c r="E40" s="1" t="s">
        <v>254</v>
      </c>
      <c r="F40" s="179">
        <v>3683</v>
      </c>
      <c r="G40" s="177"/>
      <c r="H40" s="184">
        <v>3583</v>
      </c>
      <c r="I40" s="187">
        <v>3325</v>
      </c>
      <c r="J40" s="192">
        <v>3457</v>
      </c>
      <c r="K40" s="195">
        <v>2384</v>
      </c>
      <c r="L40" s="200">
        <v>1826</v>
      </c>
      <c r="M40" s="205">
        <v>1869</v>
      </c>
      <c r="N40" s="212">
        <v>1804</v>
      </c>
      <c r="O40" s="217">
        <v>2338</v>
      </c>
      <c r="P40" s="220">
        <v>2756</v>
      </c>
      <c r="Q40" s="176">
        <v>3321</v>
      </c>
      <c r="R40" s="172">
        <v>3147</v>
      </c>
      <c r="S40" s="8">
        <f t="shared" si="0"/>
        <v>33493</v>
      </c>
      <c r="T40" s="1">
        <f t="shared" si="1"/>
        <v>12</v>
      </c>
      <c r="U40" s="31">
        <f t="shared" si="2"/>
        <v>2791.0833333333335</v>
      </c>
    </row>
    <row r="41" spans="1:21">
      <c r="A41" s="1">
        <v>39</v>
      </c>
      <c r="C41" s="163">
        <v>7002801</v>
      </c>
      <c r="D41" s="42"/>
      <c r="E41" s="11" t="s">
        <v>255</v>
      </c>
      <c r="F41" s="180"/>
      <c r="G41" s="175"/>
      <c r="H41" s="185"/>
      <c r="I41" s="189"/>
      <c r="J41" s="193"/>
      <c r="K41" s="196"/>
      <c r="L41" s="201"/>
      <c r="M41" s="206"/>
      <c r="N41" s="211"/>
      <c r="O41" s="218"/>
      <c r="P41" s="222"/>
      <c r="Q41" s="175"/>
      <c r="R41" s="173"/>
      <c r="S41" s="8">
        <f t="shared" si="0"/>
        <v>0</v>
      </c>
      <c r="T41" s="1">
        <f t="shared" si="1"/>
        <v>0</v>
      </c>
      <c r="U41" s="31" t="e">
        <f t="shared" si="2"/>
        <v>#DIV/0!</v>
      </c>
    </row>
    <row r="42" spans="1:21">
      <c r="A42" s="1">
        <v>40</v>
      </c>
      <c r="B42" s="1" t="s">
        <v>536</v>
      </c>
      <c r="C42" s="4">
        <v>70082</v>
      </c>
      <c r="D42" s="4"/>
      <c r="E42" s="1" t="s">
        <v>347</v>
      </c>
      <c r="F42" s="181">
        <v>8002.94</v>
      </c>
      <c r="G42" s="176"/>
      <c r="H42" s="184">
        <v>6592.19</v>
      </c>
      <c r="I42" s="187">
        <v>6761.77</v>
      </c>
      <c r="J42" s="200">
        <v>8939.7000000000007</v>
      </c>
      <c r="K42" s="195">
        <v>6463.77</v>
      </c>
      <c r="L42" s="200">
        <v>5816.98</v>
      </c>
      <c r="M42" s="205">
        <v>5713.52</v>
      </c>
      <c r="N42" s="212">
        <v>5924.82</v>
      </c>
      <c r="O42" s="217">
        <v>7946.56</v>
      </c>
      <c r="P42" s="220">
        <v>8687.42</v>
      </c>
      <c r="Q42" s="176">
        <v>7957.96</v>
      </c>
      <c r="R42" s="172">
        <v>8570.19</v>
      </c>
      <c r="S42" s="8">
        <f>+SUM(F42:R42)</f>
        <v>87377.820000000022</v>
      </c>
      <c r="T42" s="1">
        <f>COUNT(F42:R42)</f>
        <v>12</v>
      </c>
      <c r="U42" s="31">
        <f>+S42/T42</f>
        <v>7281.4850000000015</v>
      </c>
    </row>
    <row r="43" spans="1:21">
      <c r="A43" s="1">
        <v>41</v>
      </c>
      <c r="C43" s="4">
        <v>70026</v>
      </c>
      <c r="D43" s="4"/>
      <c r="E43" s="1" t="s">
        <v>256</v>
      </c>
      <c r="F43" s="179">
        <v>12316.24</v>
      </c>
      <c r="G43" s="177"/>
      <c r="H43" s="184">
        <v>11029.97</v>
      </c>
      <c r="I43" s="187">
        <v>11224.77</v>
      </c>
      <c r="J43" s="192">
        <v>12239.81</v>
      </c>
      <c r="K43" s="195">
        <v>6589.15</v>
      </c>
      <c r="L43" s="200">
        <v>3808.33</v>
      </c>
      <c r="M43" s="205">
        <v>3874.2</v>
      </c>
      <c r="N43" s="212">
        <v>3694.72</v>
      </c>
      <c r="O43" s="217">
        <v>7709.69</v>
      </c>
      <c r="P43" s="220">
        <v>10842.87</v>
      </c>
      <c r="Q43" s="176">
        <v>9663.81</v>
      </c>
      <c r="R43" s="172">
        <v>12034.16</v>
      </c>
      <c r="S43" s="8">
        <f t="shared" si="0"/>
        <v>105027.71999999999</v>
      </c>
      <c r="T43" s="1">
        <f t="shared" si="1"/>
        <v>12</v>
      </c>
      <c r="U43" s="31">
        <f t="shared" si="2"/>
        <v>8752.31</v>
      </c>
    </row>
    <row r="44" spans="1:21">
      <c r="A44" s="1">
        <v>42</v>
      </c>
      <c r="B44" s="1" t="s">
        <v>543</v>
      </c>
      <c r="C44" s="4">
        <v>15023818</v>
      </c>
      <c r="D44" s="4">
        <v>125</v>
      </c>
      <c r="E44" s="1" t="s">
        <v>386</v>
      </c>
      <c r="F44" s="179">
        <f>28149+32494</f>
        <v>60643</v>
      </c>
      <c r="G44" s="177"/>
      <c r="H44" s="184">
        <v>19929</v>
      </c>
      <c r="I44" s="187">
        <v>24941</v>
      </c>
      <c r="J44" s="192">
        <v>34208</v>
      </c>
      <c r="K44" s="195">
        <v>20485</v>
      </c>
      <c r="L44" s="200">
        <v>14474</v>
      </c>
      <c r="M44" s="205">
        <v>11915</v>
      </c>
      <c r="N44" s="212">
        <v>16483</v>
      </c>
      <c r="O44" s="217">
        <v>28113</v>
      </c>
      <c r="P44" s="220">
        <v>37735</v>
      </c>
      <c r="Q44" s="176">
        <v>28387</v>
      </c>
      <c r="R44" s="181">
        <v>24093</v>
      </c>
      <c r="S44" s="8">
        <f>+SUM(F44:R44)</f>
        <v>321406</v>
      </c>
      <c r="T44" s="1">
        <f>COUNT(F44:R44)</f>
        <v>12</v>
      </c>
      <c r="U44" s="31">
        <f>+S44/T44</f>
        <v>26783.833333333332</v>
      </c>
    </row>
    <row r="45" spans="1:21">
      <c r="A45" s="1">
        <v>43</v>
      </c>
      <c r="B45" s="1" t="s">
        <v>537</v>
      </c>
      <c r="C45" s="4">
        <v>70076</v>
      </c>
      <c r="D45" s="4"/>
      <c r="E45" s="1" t="s">
        <v>258</v>
      </c>
      <c r="F45" s="179">
        <v>10013.77</v>
      </c>
      <c r="G45" s="177"/>
      <c r="H45" s="184">
        <v>7758.17</v>
      </c>
      <c r="I45" s="187">
        <v>8910.01</v>
      </c>
      <c r="J45" s="192">
        <v>11100.89</v>
      </c>
      <c r="K45" s="195">
        <v>7298.94</v>
      </c>
      <c r="L45" s="200">
        <v>5431.67</v>
      </c>
      <c r="M45" s="205">
        <v>6051.15</v>
      </c>
      <c r="N45" s="212">
        <v>6611.27</v>
      </c>
      <c r="O45" s="217">
        <v>9242.09</v>
      </c>
      <c r="P45" s="220">
        <v>12483.16</v>
      </c>
      <c r="Q45" s="176">
        <v>11224.64</v>
      </c>
      <c r="R45" s="172">
        <v>9060.4699999999993</v>
      </c>
      <c r="S45" s="8">
        <f t="shared" si="0"/>
        <v>105186.23000000001</v>
      </c>
      <c r="T45" s="1">
        <f t="shared" si="1"/>
        <v>12</v>
      </c>
      <c r="U45" s="31">
        <f t="shared" si="2"/>
        <v>8765.5191666666669</v>
      </c>
    </row>
    <row r="46" spans="1:21">
      <c r="A46" s="1">
        <v>44</v>
      </c>
      <c r="B46" s="1" t="s">
        <v>537</v>
      </c>
      <c r="C46" s="4">
        <v>70062</v>
      </c>
      <c r="D46" s="4"/>
      <c r="E46" s="1" t="s">
        <v>260</v>
      </c>
      <c r="F46" s="179">
        <v>7186.76</v>
      </c>
      <c r="G46" s="177"/>
      <c r="H46" s="184">
        <v>4628.6899999999996</v>
      </c>
      <c r="I46" s="187">
        <v>4952.2700000000004</v>
      </c>
      <c r="J46" s="200">
        <v>7908.56</v>
      </c>
      <c r="K46" s="195">
        <v>4361.84</v>
      </c>
      <c r="L46" s="200">
        <v>3062.63</v>
      </c>
      <c r="M46" s="205">
        <v>4364.1400000000003</v>
      </c>
      <c r="N46" s="212">
        <v>5087.2700000000004</v>
      </c>
      <c r="O46" s="217">
        <v>8025.83</v>
      </c>
      <c r="P46" s="220">
        <v>10335.290000000001</v>
      </c>
      <c r="Q46" s="176">
        <v>7941.83</v>
      </c>
      <c r="R46" s="172">
        <v>7940.89</v>
      </c>
      <c r="S46" s="8">
        <f t="shared" si="0"/>
        <v>75796</v>
      </c>
      <c r="T46" s="1">
        <f t="shared" si="1"/>
        <v>12</v>
      </c>
      <c r="U46" s="31">
        <f t="shared" si="2"/>
        <v>6316.333333333333</v>
      </c>
    </row>
    <row r="47" spans="1:21">
      <c r="A47" s="1">
        <v>45</v>
      </c>
      <c r="C47" s="4">
        <v>70063</v>
      </c>
      <c r="D47" s="4"/>
      <c r="E47" s="1" t="s">
        <v>261</v>
      </c>
      <c r="F47" s="179">
        <v>9843.07</v>
      </c>
      <c r="G47" s="177"/>
      <c r="H47" s="184">
        <v>10277.98</v>
      </c>
      <c r="I47" s="187">
        <v>9484.73</v>
      </c>
      <c r="J47" s="192">
        <v>12317.47</v>
      </c>
      <c r="K47" s="195">
        <v>9223.2199999999993</v>
      </c>
      <c r="L47" s="200">
        <v>7053.52</v>
      </c>
      <c r="M47" s="205">
        <v>6833.57</v>
      </c>
      <c r="N47" s="212">
        <v>7984.89</v>
      </c>
      <c r="O47" s="217">
        <v>10390.549999999999</v>
      </c>
      <c r="P47" s="220">
        <v>11409.36</v>
      </c>
      <c r="Q47" s="176">
        <v>9217.5300000000007</v>
      </c>
      <c r="R47" s="172">
        <v>8790.8700000000008</v>
      </c>
      <c r="S47" s="8">
        <f t="shared" si="0"/>
        <v>112826.76000000001</v>
      </c>
      <c r="T47" s="1">
        <f t="shared" si="1"/>
        <v>12</v>
      </c>
      <c r="U47" s="31">
        <f t="shared" si="2"/>
        <v>9402.2300000000014</v>
      </c>
    </row>
    <row r="48" spans="1:21">
      <c r="A48" s="1">
        <v>46</v>
      </c>
      <c r="B48" s="1" t="s">
        <v>544</v>
      </c>
      <c r="C48" s="4">
        <v>15018015</v>
      </c>
      <c r="D48" s="4">
        <v>131</v>
      </c>
      <c r="E48" s="1" t="s">
        <v>481</v>
      </c>
      <c r="F48" s="179">
        <v>19856</v>
      </c>
      <c r="G48" s="177"/>
      <c r="H48" s="184">
        <f>22972+29472</f>
        <v>52444</v>
      </c>
      <c r="I48" s="187">
        <f>18514+19283</f>
        <v>37797</v>
      </c>
      <c r="J48" s="195">
        <v>28373</v>
      </c>
      <c r="K48" s="200">
        <v>14589</v>
      </c>
      <c r="L48" s="205">
        <v>9550</v>
      </c>
      <c r="M48" s="212">
        <v>10000</v>
      </c>
      <c r="N48" s="217">
        <v>14881</v>
      </c>
      <c r="O48" s="217">
        <v>22320</v>
      </c>
      <c r="P48" s="220">
        <v>29240</v>
      </c>
      <c r="Q48" s="176">
        <v>24769.23</v>
      </c>
      <c r="R48" s="181">
        <v>28668.01</v>
      </c>
      <c r="S48" s="8">
        <f>+SUM(F48:R48)</f>
        <v>292487.24</v>
      </c>
      <c r="T48" s="1">
        <f>COUNT(F48:R48)</f>
        <v>12</v>
      </c>
      <c r="U48" s="31">
        <f>+S48/T48</f>
        <v>24373.936666666665</v>
      </c>
    </row>
    <row r="49" spans="1:21">
      <c r="A49" s="1">
        <v>47</v>
      </c>
      <c r="B49" s="1" t="s">
        <v>545</v>
      </c>
      <c r="C49" s="164">
        <v>70027</v>
      </c>
      <c r="D49" s="4">
        <v>110</v>
      </c>
      <c r="E49" s="1" t="s">
        <v>262</v>
      </c>
      <c r="F49" s="179" t="s">
        <v>477</v>
      </c>
      <c r="G49" s="175"/>
      <c r="H49" s="184" t="s">
        <v>477</v>
      </c>
      <c r="I49" s="187" t="s">
        <v>477</v>
      </c>
      <c r="J49" s="192" t="s">
        <v>477</v>
      </c>
      <c r="K49" s="195" t="s">
        <v>477</v>
      </c>
      <c r="L49" s="200" t="s">
        <v>477</v>
      </c>
      <c r="M49" s="205" t="s">
        <v>477</v>
      </c>
      <c r="N49" s="212" t="s">
        <v>483</v>
      </c>
      <c r="O49" s="217" t="s">
        <v>483</v>
      </c>
      <c r="P49" s="220" t="s">
        <v>483</v>
      </c>
      <c r="Q49" s="176" t="s">
        <v>483</v>
      </c>
      <c r="R49" s="172">
        <v>1399.33</v>
      </c>
      <c r="S49" s="8">
        <f t="shared" si="0"/>
        <v>1399.33</v>
      </c>
      <c r="T49" s="1">
        <f t="shared" si="1"/>
        <v>1</v>
      </c>
      <c r="U49" s="31">
        <f t="shared" si="2"/>
        <v>1399.33</v>
      </c>
    </row>
    <row r="50" spans="1:21">
      <c r="A50" s="1">
        <v>48</v>
      </c>
      <c r="B50" s="1" t="s">
        <v>546</v>
      </c>
      <c r="C50" s="4">
        <v>70087</v>
      </c>
      <c r="D50" s="4">
        <v>773</v>
      </c>
      <c r="E50" s="1" t="s">
        <v>109</v>
      </c>
      <c r="F50" s="179">
        <v>1497.54</v>
      </c>
      <c r="G50" s="177"/>
      <c r="H50" s="184">
        <v>906.42</v>
      </c>
      <c r="I50" s="187">
        <v>2853.17</v>
      </c>
      <c r="J50" s="192">
        <v>1621.27</v>
      </c>
      <c r="K50" s="195">
        <v>1293.72</v>
      </c>
      <c r="L50" s="200">
        <v>676.2</v>
      </c>
      <c r="M50" s="205">
        <v>704.22</v>
      </c>
      <c r="N50" s="212">
        <v>389.7</v>
      </c>
      <c r="O50" s="217">
        <v>1632.36</v>
      </c>
      <c r="P50" s="220">
        <v>1914.18</v>
      </c>
      <c r="Q50" s="176">
        <v>1536.56</v>
      </c>
      <c r="R50" s="172">
        <v>876.4</v>
      </c>
      <c r="S50" s="8">
        <f t="shared" si="0"/>
        <v>15901.74</v>
      </c>
      <c r="T50" s="1">
        <f t="shared" si="1"/>
        <v>12</v>
      </c>
      <c r="U50" s="31">
        <f t="shared" si="2"/>
        <v>1325.145</v>
      </c>
    </row>
    <row r="51" spans="1:21">
      <c r="A51" s="1">
        <v>49</v>
      </c>
      <c r="B51" s="1" t="s">
        <v>532</v>
      </c>
      <c r="C51" s="4">
        <v>7002901</v>
      </c>
      <c r="D51" s="4">
        <v>121</v>
      </c>
      <c r="E51" s="1" t="s">
        <v>263</v>
      </c>
      <c r="F51" s="179">
        <v>3193.16</v>
      </c>
      <c r="G51" s="177"/>
      <c r="H51" s="184">
        <v>2788.18</v>
      </c>
      <c r="I51" s="187">
        <v>2301.54</v>
      </c>
      <c r="J51" s="192">
        <v>3056.07</v>
      </c>
      <c r="K51" s="195">
        <v>2415.1999999999998</v>
      </c>
      <c r="L51" s="200">
        <v>2313.2199999999998</v>
      </c>
      <c r="M51" s="205">
        <v>1839.06</v>
      </c>
      <c r="N51" s="212">
        <v>1934.41</v>
      </c>
      <c r="O51" s="217">
        <v>3192.27</v>
      </c>
      <c r="P51" s="220">
        <v>3549.11</v>
      </c>
      <c r="Q51" s="176">
        <v>2928.49</v>
      </c>
      <c r="R51" s="172">
        <v>2701.74</v>
      </c>
      <c r="S51" s="8">
        <f t="shared" si="0"/>
        <v>32212.449999999997</v>
      </c>
      <c r="T51" s="1">
        <f t="shared" si="1"/>
        <v>12</v>
      </c>
      <c r="U51" s="31">
        <f t="shared" si="2"/>
        <v>2684.3708333333329</v>
      </c>
    </row>
    <row r="52" spans="1:21">
      <c r="A52" s="1">
        <v>50</v>
      </c>
      <c r="B52" s="1" t="s">
        <v>540</v>
      </c>
      <c r="C52" s="4">
        <v>15027288</v>
      </c>
      <c r="D52" s="4"/>
      <c r="E52" s="1" t="s">
        <v>476</v>
      </c>
      <c r="F52" s="179">
        <v>16933.14</v>
      </c>
      <c r="G52" s="177"/>
      <c r="H52" s="184">
        <v>13307.79</v>
      </c>
      <c r="I52" s="187">
        <v>11207.97</v>
      </c>
      <c r="J52" s="192">
        <v>15819.42</v>
      </c>
      <c r="K52" s="195">
        <v>7870.56</v>
      </c>
      <c r="L52" s="200">
        <v>5316.12</v>
      </c>
      <c r="M52" s="205">
        <v>5627.53</v>
      </c>
      <c r="N52" s="212">
        <v>6439.79</v>
      </c>
      <c r="O52" s="217">
        <v>12789.9</v>
      </c>
      <c r="P52" s="220">
        <v>15705.85</v>
      </c>
      <c r="Q52" s="176">
        <v>13584.2</v>
      </c>
      <c r="R52" s="172">
        <v>686.72</v>
      </c>
      <c r="S52" s="8">
        <f t="shared" si="0"/>
        <v>125288.98999999999</v>
      </c>
      <c r="T52" s="1">
        <f t="shared" si="1"/>
        <v>12</v>
      </c>
      <c r="U52" s="31">
        <f t="shared" si="2"/>
        <v>10440.749166666666</v>
      </c>
    </row>
    <row r="53" spans="1:21">
      <c r="A53" s="1">
        <v>51</v>
      </c>
      <c r="B53" s="1" t="s">
        <v>531</v>
      </c>
      <c r="C53" s="4">
        <v>70088</v>
      </c>
      <c r="D53" s="4">
        <v>534</v>
      </c>
      <c r="E53" s="1" t="s">
        <v>88</v>
      </c>
      <c r="F53" s="179">
        <v>799.42</v>
      </c>
      <c r="G53" s="177"/>
      <c r="H53" s="184">
        <v>401.96</v>
      </c>
      <c r="I53" s="187">
        <v>911.43</v>
      </c>
      <c r="J53" s="192">
        <v>1058.6300000000001</v>
      </c>
      <c r="K53" s="200">
        <v>262.83999999999997</v>
      </c>
      <c r="L53" s="200">
        <v>237.06</v>
      </c>
      <c r="M53" s="205">
        <v>201.03</v>
      </c>
      <c r="N53" s="217">
        <v>277.24</v>
      </c>
      <c r="O53" s="217">
        <v>642.96</v>
      </c>
      <c r="P53" s="220">
        <v>1048.97</v>
      </c>
      <c r="Q53" s="176">
        <v>860.06</v>
      </c>
      <c r="R53" s="173"/>
      <c r="S53" s="8">
        <f t="shared" si="0"/>
        <v>6701.6</v>
      </c>
      <c r="T53" s="1">
        <f t="shared" si="1"/>
        <v>11</v>
      </c>
      <c r="U53" s="31">
        <f t="shared" si="2"/>
        <v>609.23636363636365</v>
      </c>
    </row>
    <row r="54" spans="1:21">
      <c r="A54" s="1">
        <v>52</v>
      </c>
      <c r="B54" s="1" t="s">
        <v>540</v>
      </c>
      <c r="C54" s="4">
        <v>10288600</v>
      </c>
      <c r="D54" s="4">
        <v>134</v>
      </c>
      <c r="E54" s="1" t="s">
        <v>264</v>
      </c>
      <c r="F54" s="179">
        <v>82603.48</v>
      </c>
      <c r="G54" s="177"/>
      <c r="H54" s="184">
        <v>52667.360000000001</v>
      </c>
      <c r="I54" s="187">
        <v>69590.5</v>
      </c>
      <c r="J54" s="192">
        <v>80704.78</v>
      </c>
      <c r="K54" s="195">
        <v>48320.98</v>
      </c>
      <c r="L54" s="200">
        <v>25068.23</v>
      </c>
      <c r="M54" s="205">
        <v>31940.74</v>
      </c>
      <c r="N54" s="212">
        <v>38094.61</v>
      </c>
      <c r="O54" s="217">
        <v>50772.47</v>
      </c>
      <c r="P54" s="220">
        <v>81883.91</v>
      </c>
      <c r="Q54" s="176">
        <v>83726.7</v>
      </c>
      <c r="R54" s="172">
        <v>72949.08</v>
      </c>
      <c r="S54" s="8">
        <f t="shared" si="0"/>
        <v>718322.83999999985</v>
      </c>
      <c r="T54" s="1">
        <f t="shared" si="1"/>
        <v>12</v>
      </c>
      <c r="U54" s="31">
        <f t="shared" si="2"/>
        <v>59860.236666666657</v>
      </c>
    </row>
    <row r="55" spans="1:21">
      <c r="A55" s="1">
        <v>53</v>
      </c>
      <c r="B55" s="1" t="s">
        <v>533</v>
      </c>
      <c r="C55" s="4">
        <v>15013835</v>
      </c>
      <c r="D55" s="4">
        <v>4129</v>
      </c>
      <c r="E55" s="1" t="s">
        <v>331</v>
      </c>
      <c r="F55" s="179">
        <v>5559.24</v>
      </c>
      <c r="G55" s="177"/>
      <c r="H55" s="184">
        <v>5462.82</v>
      </c>
      <c r="I55" s="187">
        <v>5302.62</v>
      </c>
      <c r="J55" s="192">
        <v>6148.62</v>
      </c>
      <c r="K55" s="195">
        <v>5306.4</v>
      </c>
      <c r="L55" s="200">
        <v>5071.8599999999997</v>
      </c>
      <c r="M55" s="205">
        <v>4649.04</v>
      </c>
      <c r="N55" s="212">
        <v>5167.74</v>
      </c>
      <c r="O55" s="217">
        <v>5402.16</v>
      </c>
      <c r="P55" s="220">
        <v>5815.38</v>
      </c>
      <c r="Q55" s="176">
        <v>5560.38</v>
      </c>
      <c r="R55" s="172">
        <v>5630.64</v>
      </c>
      <c r="S55" s="8">
        <f t="shared" si="0"/>
        <v>65076.899999999994</v>
      </c>
      <c r="T55" s="1">
        <f t="shared" si="1"/>
        <v>12</v>
      </c>
      <c r="U55" s="31">
        <f t="shared" si="2"/>
        <v>5423.0749999999998</v>
      </c>
    </row>
    <row r="56" spans="1:21">
      <c r="A56" s="1">
        <v>54</v>
      </c>
      <c r="B56" s="1" t="s">
        <v>532</v>
      </c>
      <c r="C56" s="4">
        <v>7005102</v>
      </c>
      <c r="D56" s="4">
        <v>111</v>
      </c>
      <c r="E56" s="1" t="s">
        <v>265</v>
      </c>
      <c r="F56" s="179">
        <v>8610.09</v>
      </c>
      <c r="G56" s="177"/>
      <c r="H56" s="184">
        <v>7679.58</v>
      </c>
      <c r="I56" s="187">
        <v>7101.75</v>
      </c>
      <c r="J56" s="192">
        <v>7826.76</v>
      </c>
      <c r="K56" s="195">
        <v>6005.56</v>
      </c>
      <c r="L56" s="200">
        <v>5294.9</v>
      </c>
      <c r="M56" s="205">
        <v>4578.5600000000004</v>
      </c>
      <c r="N56" s="212">
        <v>5081.62</v>
      </c>
      <c r="O56" s="217">
        <v>6814.39</v>
      </c>
      <c r="P56" s="220">
        <v>7264.72</v>
      </c>
      <c r="Q56" s="176">
        <v>6955.77</v>
      </c>
      <c r="R56" s="172">
        <v>6766.23</v>
      </c>
      <c r="S56" s="8">
        <f t="shared" si="0"/>
        <v>79979.929999999993</v>
      </c>
      <c r="T56" s="1">
        <f t="shared" si="1"/>
        <v>12</v>
      </c>
      <c r="U56" s="31">
        <f t="shared" si="2"/>
        <v>6664.9941666666664</v>
      </c>
    </row>
    <row r="57" spans="1:21">
      <c r="A57" s="1">
        <v>55</v>
      </c>
      <c r="B57" s="1" t="s">
        <v>532</v>
      </c>
      <c r="C57" s="4">
        <v>15028327</v>
      </c>
      <c r="D57" s="4">
        <v>112</v>
      </c>
      <c r="E57" s="1" t="s">
        <v>266</v>
      </c>
      <c r="F57" s="179">
        <v>6374.57</v>
      </c>
      <c r="G57" s="177"/>
      <c r="H57" s="184">
        <v>5841.66</v>
      </c>
      <c r="I57" s="187">
        <v>5392.75</v>
      </c>
      <c r="J57" s="192">
        <v>5804.27</v>
      </c>
      <c r="K57" s="200">
        <v>5105.17</v>
      </c>
      <c r="L57" s="200">
        <v>4502.12</v>
      </c>
      <c r="M57" s="205">
        <v>3983.42</v>
      </c>
      <c r="N57" s="212">
        <v>4396.66</v>
      </c>
      <c r="O57" s="217">
        <v>5709.81</v>
      </c>
      <c r="P57" s="220">
        <v>6199.11</v>
      </c>
      <c r="Q57" s="176">
        <v>6250.74</v>
      </c>
      <c r="R57" s="172">
        <v>5572.01</v>
      </c>
      <c r="S57" s="8">
        <f t="shared" si="0"/>
        <v>65132.289999999994</v>
      </c>
      <c r="T57" s="1">
        <f t="shared" si="1"/>
        <v>12</v>
      </c>
      <c r="U57" s="31">
        <f t="shared" si="2"/>
        <v>5427.6908333333331</v>
      </c>
    </row>
    <row r="58" spans="1:21">
      <c r="A58" s="1">
        <v>56</v>
      </c>
      <c r="B58" s="1" t="s">
        <v>535</v>
      </c>
      <c r="C58" s="4">
        <v>7003101</v>
      </c>
      <c r="D58" s="4">
        <v>113</v>
      </c>
      <c r="E58" s="1" t="s">
        <v>267</v>
      </c>
      <c r="F58" s="179">
        <v>857.31</v>
      </c>
      <c r="G58" s="177"/>
      <c r="H58" s="184">
        <v>936.52</v>
      </c>
      <c r="I58" s="187">
        <v>884.3</v>
      </c>
      <c r="J58" s="192">
        <v>1151.76</v>
      </c>
      <c r="K58" s="195">
        <v>775.61</v>
      </c>
      <c r="L58" s="200">
        <v>627.4</v>
      </c>
      <c r="M58" s="205">
        <v>487.07</v>
      </c>
      <c r="N58" s="212">
        <v>760.83</v>
      </c>
      <c r="O58" s="217">
        <v>1013.2</v>
      </c>
      <c r="P58" s="220">
        <v>1236.76</v>
      </c>
      <c r="Q58" s="176">
        <v>1239.5999999999999</v>
      </c>
      <c r="R58" s="172">
        <v>898.67</v>
      </c>
      <c r="S58" s="8">
        <f t="shared" si="0"/>
        <v>10869.029999999999</v>
      </c>
      <c r="T58" s="1">
        <f t="shared" si="1"/>
        <v>12</v>
      </c>
      <c r="U58" s="31">
        <f t="shared" si="2"/>
        <v>905.75249999999994</v>
      </c>
    </row>
    <row r="59" spans="1:21">
      <c r="A59" s="1">
        <v>57</v>
      </c>
      <c r="B59" s="1" t="s">
        <v>547</v>
      </c>
      <c r="C59" s="4">
        <v>15028936</v>
      </c>
      <c r="D59" s="4"/>
      <c r="E59" s="1" t="s">
        <v>478</v>
      </c>
      <c r="F59" s="180"/>
      <c r="G59" s="175"/>
      <c r="H59" s="185"/>
      <c r="I59" s="189"/>
      <c r="J59" s="193"/>
      <c r="K59" s="196"/>
      <c r="L59" s="201"/>
      <c r="M59" s="205">
        <v>513.24</v>
      </c>
      <c r="N59" s="212">
        <f>26.51+127.85</f>
        <v>154.35999999999999</v>
      </c>
      <c r="O59" s="217">
        <v>308.69</v>
      </c>
      <c r="P59" s="220">
        <v>201.51</v>
      </c>
      <c r="Q59" s="176">
        <v>273.24</v>
      </c>
      <c r="R59" s="172">
        <v>227.1</v>
      </c>
      <c r="S59" s="8"/>
      <c r="U59" s="31"/>
    </row>
    <row r="60" spans="1:21">
      <c r="A60" s="1">
        <v>58</v>
      </c>
      <c r="B60" s="1" t="s">
        <v>535</v>
      </c>
      <c r="C60" s="4">
        <v>7008901</v>
      </c>
      <c r="D60" s="4">
        <v>135</v>
      </c>
      <c r="E60" s="1" t="s">
        <v>268</v>
      </c>
      <c r="F60" s="179">
        <v>5472</v>
      </c>
      <c r="G60" s="177"/>
      <c r="H60" s="184">
        <v>4458.0600000000004</v>
      </c>
      <c r="I60" s="187">
        <v>4793.28</v>
      </c>
      <c r="J60" s="192">
        <v>5738.22</v>
      </c>
      <c r="K60" s="195">
        <v>3234.96</v>
      </c>
      <c r="L60" s="200">
        <v>2449.44</v>
      </c>
      <c r="M60" s="205">
        <v>2252.2199999999998</v>
      </c>
      <c r="N60" s="212">
        <v>2736.72</v>
      </c>
      <c r="O60" s="217">
        <v>4866.72</v>
      </c>
      <c r="P60" s="220">
        <v>6026.22</v>
      </c>
      <c r="Q60" s="176">
        <v>4780.32</v>
      </c>
      <c r="R60" s="172">
        <v>5126.5200000000004</v>
      </c>
      <c r="S60" s="8">
        <f t="shared" si="0"/>
        <v>51934.680000000008</v>
      </c>
      <c r="T60" s="1">
        <f t="shared" si="1"/>
        <v>12</v>
      </c>
      <c r="U60" s="31">
        <f t="shared" si="2"/>
        <v>4327.8900000000003</v>
      </c>
    </row>
    <row r="61" spans="1:21">
      <c r="A61" s="1">
        <v>59</v>
      </c>
      <c r="C61" s="4">
        <v>15020408</v>
      </c>
      <c r="D61" s="4"/>
      <c r="E61" s="1" t="s">
        <v>367</v>
      </c>
      <c r="F61" s="181">
        <v>181.87</v>
      </c>
      <c r="G61" s="176"/>
      <c r="H61" s="185"/>
      <c r="I61" s="187">
        <v>309.85000000000002</v>
      </c>
      <c r="J61" s="192">
        <v>190</v>
      </c>
      <c r="K61" s="195">
        <v>149.35</v>
      </c>
      <c r="L61" s="200">
        <v>72.569999999999993</v>
      </c>
      <c r="M61" s="205">
        <v>0</v>
      </c>
      <c r="N61" s="211"/>
      <c r="O61" s="218"/>
      <c r="P61" s="220">
        <v>183.98</v>
      </c>
      <c r="Q61" s="181">
        <v>157.54</v>
      </c>
      <c r="R61" s="181">
        <v>244.82</v>
      </c>
      <c r="S61" s="8">
        <f>+SUM(F61:R61)</f>
        <v>1489.98</v>
      </c>
      <c r="T61" s="1">
        <f>COUNT(F61:R61)</f>
        <v>9</v>
      </c>
      <c r="U61" s="31">
        <f>+S61/T61</f>
        <v>165.55333333333334</v>
      </c>
    </row>
    <row r="62" spans="1:21">
      <c r="A62" s="1">
        <v>60</v>
      </c>
      <c r="B62" s="1" t="s">
        <v>538</v>
      </c>
      <c r="C62" s="4">
        <v>7001502</v>
      </c>
      <c r="D62" s="4">
        <v>128</v>
      </c>
      <c r="E62" s="1" t="s">
        <v>270</v>
      </c>
      <c r="F62" s="179">
        <v>7759.07</v>
      </c>
      <c r="G62" s="177"/>
      <c r="H62" s="184">
        <v>5415.19</v>
      </c>
      <c r="I62" s="187">
        <v>4736.34</v>
      </c>
      <c r="J62" s="192">
        <v>7381.12</v>
      </c>
      <c r="K62" s="195">
        <v>4043.16</v>
      </c>
      <c r="L62" s="200">
        <v>2765.6</v>
      </c>
      <c r="M62" s="205">
        <v>2378.2199999999998</v>
      </c>
      <c r="N62" s="212">
        <v>3467.83</v>
      </c>
      <c r="O62" s="217">
        <v>5777.34</v>
      </c>
      <c r="P62" s="220">
        <v>6816.44</v>
      </c>
      <c r="Q62" s="176">
        <v>6485.36</v>
      </c>
      <c r="R62" s="172">
        <v>5179.25</v>
      </c>
      <c r="S62" s="8">
        <f t="shared" si="0"/>
        <v>62204.92</v>
      </c>
      <c r="T62" s="1">
        <f t="shared" si="1"/>
        <v>12</v>
      </c>
      <c r="U62" s="31">
        <f t="shared" si="2"/>
        <v>5183.7433333333329</v>
      </c>
    </row>
    <row r="63" spans="1:21">
      <c r="A63" s="1">
        <v>61</v>
      </c>
      <c r="B63" s="1" t="s">
        <v>532</v>
      </c>
      <c r="C63" s="4">
        <v>70084</v>
      </c>
      <c r="D63" s="4">
        <v>209</v>
      </c>
      <c r="E63" s="1" t="s">
        <v>271</v>
      </c>
      <c r="F63" s="179">
        <v>4720.4399999999996</v>
      </c>
      <c r="G63" s="177"/>
      <c r="H63" s="184">
        <v>3455.31</v>
      </c>
      <c r="I63" s="187">
        <v>3455.1</v>
      </c>
      <c r="J63" s="192">
        <v>3957.58</v>
      </c>
      <c r="K63" s="195">
        <v>2875.39</v>
      </c>
      <c r="L63" s="200">
        <v>2705.97</v>
      </c>
      <c r="M63" s="205">
        <v>2072.84</v>
      </c>
      <c r="N63" s="212">
        <v>3168.43</v>
      </c>
      <c r="O63" s="217">
        <v>4145.0600000000004</v>
      </c>
      <c r="P63" s="220">
        <v>4666.46</v>
      </c>
      <c r="Q63" s="176">
        <v>3756.8</v>
      </c>
      <c r="R63" s="172">
        <v>3857.94</v>
      </c>
      <c r="S63" s="8">
        <f t="shared" si="0"/>
        <v>42837.320000000007</v>
      </c>
      <c r="T63" s="1">
        <f t="shared" si="1"/>
        <v>12</v>
      </c>
      <c r="U63" s="31">
        <f t="shared" si="2"/>
        <v>3569.7766666666671</v>
      </c>
    </row>
    <row r="64" spans="1:21">
      <c r="A64" s="1">
        <v>62</v>
      </c>
      <c r="C64" s="164">
        <v>15012301</v>
      </c>
      <c r="D64" s="4"/>
      <c r="E64" s="1" t="s">
        <v>323</v>
      </c>
      <c r="F64" s="180"/>
      <c r="G64" s="175"/>
      <c r="H64" s="185"/>
      <c r="I64" s="189"/>
      <c r="J64" s="193"/>
      <c r="K64" s="196"/>
      <c r="L64" s="201"/>
      <c r="M64" s="206"/>
      <c r="N64" s="211"/>
      <c r="O64" s="218"/>
      <c r="P64" s="222"/>
      <c r="Q64" s="175"/>
      <c r="R64" s="173"/>
      <c r="S64" s="8">
        <f t="shared" si="0"/>
        <v>0</v>
      </c>
      <c r="T64" s="1">
        <f t="shared" si="1"/>
        <v>0</v>
      </c>
      <c r="U64" s="31" t="e">
        <f t="shared" si="2"/>
        <v>#DIV/0!</v>
      </c>
    </row>
    <row r="65" spans="1:22">
      <c r="A65" s="1">
        <v>63</v>
      </c>
      <c r="B65" s="1" t="s">
        <v>538</v>
      </c>
      <c r="C65" s="4">
        <v>15007129</v>
      </c>
      <c r="D65" s="4"/>
      <c r="E65" s="1" t="s">
        <v>479</v>
      </c>
      <c r="F65" s="179">
        <v>6389.03</v>
      </c>
      <c r="G65" s="177"/>
      <c r="H65" s="184">
        <v>5629.6</v>
      </c>
      <c r="I65" s="187">
        <v>5088.1499999999996</v>
      </c>
      <c r="J65" s="192">
        <v>6696.45</v>
      </c>
      <c r="K65" s="195">
        <v>4529.51</v>
      </c>
      <c r="L65" s="200">
        <v>5442.88</v>
      </c>
      <c r="M65" s="205">
        <v>3710.36</v>
      </c>
      <c r="N65" s="212">
        <v>3815.5</v>
      </c>
      <c r="O65" s="217">
        <v>6201.98</v>
      </c>
      <c r="P65" s="220">
        <v>6516.76</v>
      </c>
      <c r="Q65" s="176">
        <v>5717.36</v>
      </c>
      <c r="R65" s="172">
        <v>5386.65</v>
      </c>
      <c r="S65" s="8">
        <f t="shared" si="0"/>
        <v>65124.229999999996</v>
      </c>
      <c r="T65" s="1">
        <f t="shared" si="1"/>
        <v>12</v>
      </c>
      <c r="U65" s="31">
        <f t="shared" si="2"/>
        <v>5427.019166666666</v>
      </c>
    </row>
    <row r="66" spans="1:22">
      <c r="A66" s="1">
        <v>64</v>
      </c>
      <c r="B66" s="1" t="s">
        <v>541</v>
      </c>
      <c r="C66" s="4">
        <v>15013110</v>
      </c>
      <c r="D66" s="4"/>
      <c r="E66" s="1" t="s">
        <v>480</v>
      </c>
      <c r="F66" s="181">
        <v>7532.32</v>
      </c>
      <c r="G66" s="176"/>
      <c r="H66" s="184">
        <v>6951.96</v>
      </c>
      <c r="I66" s="187">
        <v>7806.21</v>
      </c>
      <c r="J66" s="192">
        <v>8403.5499999999993</v>
      </c>
      <c r="K66" s="195">
        <v>5187.71</v>
      </c>
      <c r="L66" s="200">
        <v>4364.4399999999996</v>
      </c>
      <c r="M66" s="205">
        <v>5615.6</v>
      </c>
      <c r="N66" s="212">
        <v>5681.08</v>
      </c>
      <c r="O66" s="217">
        <v>7817.27</v>
      </c>
      <c r="P66" s="220">
        <v>8627.08</v>
      </c>
      <c r="Q66" s="176">
        <v>7580.11</v>
      </c>
      <c r="R66" s="172">
        <v>6812.15</v>
      </c>
      <c r="S66" s="8">
        <f t="shared" si="0"/>
        <v>82379.48</v>
      </c>
      <c r="T66" s="1">
        <f t="shared" si="1"/>
        <v>12</v>
      </c>
      <c r="U66" s="31">
        <f t="shared" si="2"/>
        <v>6864.956666666666</v>
      </c>
    </row>
    <row r="67" spans="1:22">
      <c r="A67" s="1">
        <v>65</v>
      </c>
      <c r="B67" s="1" t="s">
        <v>535</v>
      </c>
      <c r="C67" s="4">
        <v>7004001</v>
      </c>
      <c r="D67" s="4">
        <v>116</v>
      </c>
      <c r="E67" s="1" t="s">
        <v>277</v>
      </c>
      <c r="F67" s="181">
        <v>14926.98</v>
      </c>
      <c r="G67" s="176"/>
      <c r="H67" s="184">
        <v>13433.43</v>
      </c>
      <c r="I67" s="187">
        <v>12484.5</v>
      </c>
      <c r="J67" s="192">
        <v>14376.33</v>
      </c>
      <c r="K67" s="195">
        <v>12076.82</v>
      </c>
      <c r="L67" s="200">
        <v>7736.54</v>
      </c>
      <c r="M67" s="205">
        <v>8375.09</v>
      </c>
      <c r="N67" s="212">
        <v>9369.56</v>
      </c>
      <c r="O67" s="217">
        <v>11730.38</v>
      </c>
      <c r="P67" s="220">
        <v>14279.6</v>
      </c>
      <c r="Q67" s="176">
        <v>15034.39</v>
      </c>
      <c r="R67" s="172">
        <v>13332.87</v>
      </c>
      <c r="S67" s="8">
        <f t="shared" si="0"/>
        <v>147156.49</v>
      </c>
      <c r="T67" s="1">
        <f>COUNT(F67:R67)</f>
        <v>12</v>
      </c>
      <c r="U67" s="31">
        <f>+S67/T67</f>
        <v>12263.040833333333</v>
      </c>
    </row>
    <row r="68" spans="1:22">
      <c r="A68" s="1">
        <v>66</v>
      </c>
      <c r="B68" s="1" t="s">
        <v>537</v>
      </c>
      <c r="C68" s="4">
        <v>15020277</v>
      </c>
      <c r="D68" s="4"/>
      <c r="E68" s="1" t="s">
        <v>364</v>
      </c>
      <c r="F68" s="181">
        <v>17336.03</v>
      </c>
      <c r="G68" s="176"/>
      <c r="H68" s="184">
        <v>17235.82</v>
      </c>
      <c r="I68" s="187">
        <v>17901</v>
      </c>
      <c r="J68" s="200">
        <v>20776.59</v>
      </c>
      <c r="K68" s="195">
        <v>16568.310000000001</v>
      </c>
      <c r="L68" s="200">
        <v>13021.97</v>
      </c>
      <c r="M68" s="205">
        <v>14771.19</v>
      </c>
      <c r="N68" s="212">
        <v>15050.7</v>
      </c>
      <c r="O68" s="217">
        <v>18656</v>
      </c>
      <c r="P68" s="220">
        <v>21800.61</v>
      </c>
      <c r="Q68" s="176">
        <v>19244.05</v>
      </c>
      <c r="R68" s="172">
        <v>17614.71</v>
      </c>
      <c r="S68" s="8">
        <f t="shared" si="0"/>
        <v>209976.98</v>
      </c>
      <c r="T68" s="1">
        <f>COUNT(F68:R68)</f>
        <v>12</v>
      </c>
      <c r="U68" s="31">
        <f>+S68/T68</f>
        <v>17498.081666666669</v>
      </c>
    </row>
    <row r="69" spans="1:22">
      <c r="A69" s="1">
        <v>67</v>
      </c>
      <c r="B69" s="1" t="s">
        <v>530</v>
      </c>
      <c r="C69" s="4">
        <v>15021222</v>
      </c>
      <c r="D69" s="4">
        <v>556</v>
      </c>
      <c r="E69" s="1" t="s">
        <v>90</v>
      </c>
      <c r="F69" s="181">
        <v>14882.65</v>
      </c>
      <c r="G69" s="176"/>
      <c r="H69" s="184">
        <v>14325.56</v>
      </c>
      <c r="I69" s="187">
        <v>13133.04</v>
      </c>
      <c r="J69" s="192">
        <v>15723.85</v>
      </c>
      <c r="K69" s="195">
        <v>12630.95</v>
      </c>
      <c r="L69" s="200">
        <v>10523.24</v>
      </c>
      <c r="M69" s="205">
        <v>9967.61</v>
      </c>
      <c r="N69" s="212">
        <v>9355.44</v>
      </c>
      <c r="O69" s="217">
        <v>14584.47</v>
      </c>
      <c r="P69" s="220">
        <v>16571.7</v>
      </c>
      <c r="Q69" s="176">
        <v>14614.5</v>
      </c>
      <c r="R69" s="172">
        <v>14789.64</v>
      </c>
      <c r="S69" s="8">
        <f t="shared" ref="S69:S84" si="3">+SUM(F69:R69)</f>
        <v>161102.65000000002</v>
      </c>
      <c r="T69" s="1">
        <f t="shared" ref="T69:T84" si="4">COUNT(F69:R69)</f>
        <v>12</v>
      </c>
      <c r="U69" s="31">
        <f t="shared" ref="U69:U84" si="5">+S69/T69</f>
        <v>13425.220833333335</v>
      </c>
    </row>
    <row r="70" spans="1:22">
      <c r="A70" s="1">
        <v>68</v>
      </c>
      <c r="B70" s="1" t="s">
        <v>539</v>
      </c>
      <c r="C70" s="4">
        <v>15005530</v>
      </c>
      <c r="D70" s="4">
        <v>107</v>
      </c>
      <c r="E70" s="1" t="s">
        <v>278</v>
      </c>
      <c r="F70" s="179">
        <v>1305.48</v>
      </c>
      <c r="G70" s="177"/>
      <c r="H70" s="184">
        <v>1045.74</v>
      </c>
      <c r="I70" s="187">
        <v>1324.16</v>
      </c>
      <c r="J70" s="192">
        <v>1963.08</v>
      </c>
      <c r="K70" s="195">
        <v>1242.79</v>
      </c>
      <c r="L70" s="200">
        <v>730.64</v>
      </c>
      <c r="M70" s="205">
        <v>697.34</v>
      </c>
      <c r="N70" s="212">
        <v>930.68</v>
      </c>
      <c r="O70" s="217">
        <v>866.42</v>
      </c>
      <c r="P70" s="220">
        <v>1643.56</v>
      </c>
      <c r="Q70" s="176">
        <v>1121.4100000000001</v>
      </c>
      <c r="R70" s="172">
        <v>1152.04</v>
      </c>
      <c r="S70" s="8">
        <f t="shared" si="3"/>
        <v>14023.34</v>
      </c>
      <c r="T70" s="1">
        <f t="shared" si="4"/>
        <v>12</v>
      </c>
      <c r="U70" s="31">
        <f t="shared" si="5"/>
        <v>1168.6116666666667</v>
      </c>
    </row>
    <row r="71" spans="1:22">
      <c r="A71" s="1">
        <v>69</v>
      </c>
      <c r="B71" s="1" t="s">
        <v>530</v>
      </c>
      <c r="C71" s="42">
        <v>70080</v>
      </c>
      <c r="D71" s="42">
        <v>118</v>
      </c>
      <c r="E71" s="11" t="s">
        <v>280</v>
      </c>
      <c r="F71" s="179">
        <v>4992.1499999999996</v>
      </c>
      <c r="G71" s="177"/>
      <c r="H71" s="184">
        <v>4244.5600000000004</v>
      </c>
      <c r="I71" s="187">
        <v>3725</v>
      </c>
      <c r="J71" s="192">
        <v>6135.75</v>
      </c>
      <c r="K71" s="195">
        <v>3192.31</v>
      </c>
      <c r="L71" s="200">
        <v>3072.27</v>
      </c>
      <c r="M71" s="205">
        <v>3289.05</v>
      </c>
      <c r="N71" s="212">
        <v>2592.14</v>
      </c>
      <c r="O71" s="217">
        <v>4752.22</v>
      </c>
      <c r="P71" s="220">
        <f>5532.52+4752.22</f>
        <v>10284.740000000002</v>
      </c>
      <c r="Q71" s="176">
        <v>4692.3999999999996</v>
      </c>
      <c r="R71" s="172">
        <v>-4752.22</v>
      </c>
      <c r="S71" s="8">
        <f t="shared" si="3"/>
        <v>46220.37</v>
      </c>
      <c r="T71" s="1">
        <f t="shared" si="4"/>
        <v>12</v>
      </c>
      <c r="U71" s="31">
        <f t="shared" si="5"/>
        <v>3851.6975000000002</v>
      </c>
      <c r="V71" s="172">
        <f>-4752.22+3852.25</f>
        <v>-899.97000000000025</v>
      </c>
    </row>
    <row r="72" spans="1:22">
      <c r="A72" s="1">
        <v>69</v>
      </c>
      <c r="B72" s="1" t="s">
        <v>530</v>
      </c>
      <c r="C72" s="42">
        <v>70080</v>
      </c>
      <c r="D72" s="42">
        <v>118</v>
      </c>
      <c r="E72" s="11" t="s">
        <v>280</v>
      </c>
      <c r="F72" s="179"/>
      <c r="G72" s="177"/>
      <c r="H72" s="184"/>
      <c r="I72" s="187"/>
      <c r="J72" s="192"/>
      <c r="K72" s="195"/>
      <c r="L72" s="200"/>
      <c r="M72" s="205"/>
      <c r="N72" s="212"/>
      <c r="O72" s="217"/>
      <c r="P72" s="220"/>
      <c r="Q72" s="176"/>
      <c r="R72" s="181">
        <v>3852.25</v>
      </c>
      <c r="S72" s="8"/>
      <c r="U72" s="31"/>
      <c r="V72" s="172"/>
    </row>
    <row r="73" spans="1:22">
      <c r="A73" s="1">
        <v>70</v>
      </c>
      <c r="B73" s="1" t="s">
        <v>548</v>
      </c>
      <c r="C73" s="4">
        <v>70046</v>
      </c>
      <c r="D73" s="4">
        <v>119</v>
      </c>
      <c r="E73" s="1" t="s">
        <v>281</v>
      </c>
      <c r="F73" s="179">
        <v>500.94</v>
      </c>
      <c r="G73" s="177"/>
      <c r="H73" s="184">
        <v>506.1</v>
      </c>
      <c r="I73" s="187">
        <v>499.44</v>
      </c>
      <c r="J73" s="192">
        <v>505.74</v>
      </c>
      <c r="K73" s="200">
        <v>512.1</v>
      </c>
      <c r="L73" s="200">
        <v>498.9</v>
      </c>
      <c r="M73" s="205">
        <v>439.26</v>
      </c>
      <c r="N73" s="212">
        <v>355.68</v>
      </c>
      <c r="O73" s="217">
        <v>379.74</v>
      </c>
      <c r="P73" s="220">
        <v>511.86</v>
      </c>
      <c r="Q73" s="176">
        <v>517.26</v>
      </c>
      <c r="R73" s="172">
        <v>1187.28</v>
      </c>
      <c r="S73" s="8">
        <f t="shared" si="3"/>
        <v>6414.3</v>
      </c>
      <c r="T73" s="1">
        <f t="shared" si="4"/>
        <v>12</v>
      </c>
      <c r="U73" s="31">
        <f t="shared" si="5"/>
        <v>534.52499999999998</v>
      </c>
    </row>
    <row r="74" spans="1:22">
      <c r="A74" s="1">
        <v>71</v>
      </c>
      <c r="B74" s="1" t="s">
        <v>543</v>
      </c>
      <c r="C74" s="4">
        <v>15021222</v>
      </c>
      <c r="D74" s="4">
        <v>568</v>
      </c>
      <c r="E74" s="1" t="s">
        <v>91</v>
      </c>
      <c r="F74" s="179">
        <v>14372.58</v>
      </c>
      <c r="G74" s="177"/>
      <c r="H74" s="184">
        <v>13185.33</v>
      </c>
      <c r="I74" s="187">
        <v>14713.51</v>
      </c>
      <c r="J74" s="192">
        <v>19036.080000000002</v>
      </c>
      <c r="K74" s="195">
        <v>12835.28</v>
      </c>
      <c r="L74" s="200">
        <v>9305.67</v>
      </c>
      <c r="M74" s="205">
        <v>11163.05</v>
      </c>
      <c r="N74" s="212">
        <v>11776.23</v>
      </c>
      <c r="O74" s="217">
        <v>14889.62</v>
      </c>
      <c r="P74" s="220">
        <v>18800.509999999998</v>
      </c>
      <c r="Q74" s="176">
        <v>16615.3</v>
      </c>
      <c r="R74" s="172">
        <v>16267.51</v>
      </c>
      <c r="S74" s="8">
        <f t="shared" si="3"/>
        <v>172960.66999999998</v>
      </c>
      <c r="T74" s="1">
        <f t="shared" si="4"/>
        <v>12</v>
      </c>
      <c r="U74" s="31">
        <f t="shared" si="5"/>
        <v>14413.389166666666</v>
      </c>
    </row>
    <row r="75" spans="1:22">
      <c r="A75" s="1">
        <v>72</v>
      </c>
      <c r="C75" s="164">
        <v>70054</v>
      </c>
      <c r="D75" s="4"/>
      <c r="E75" s="1" t="s">
        <v>282</v>
      </c>
      <c r="F75" s="180"/>
      <c r="G75" s="175"/>
      <c r="H75" s="185"/>
      <c r="I75" s="189"/>
      <c r="J75" s="193"/>
      <c r="K75" s="196"/>
      <c r="L75" s="201"/>
      <c r="M75" s="206"/>
      <c r="N75" s="211"/>
      <c r="O75" s="218"/>
      <c r="P75" s="222"/>
      <c r="Q75" s="175"/>
      <c r="R75" s="173"/>
      <c r="S75" s="8">
        <f t="shared" si="3"/>
        <v>0</v>
      </c>
      <c r="T75" s="1">
        <f t="shared" si="4"/>
        <v>0</v>
      </c>
      <c r="U75" s="31" t="e">
        <f t="shared" si="5"/>
        <v>#DIV/0!</v>
      </c>
    </row>
    <row r="76" spans="1:22">
      <c r="A76" s="1">
        <v>73</v>
      </c>
      <c r="B76" s="1" t="s">
        <v>530</v>
      </c>
      <c r="C76" s="4">
        <v>13032900</v>
      </c>
      <c r="D76" s="4"/>
      <c r="E76" s="1" t="s">
        <v>368</v>
      </c>
      <c r="F76" s="181">
        <v>138.9</v>
      </c>
      <c r="G76" s="176"/>
      <c r="H76" s="184">
        <v>120.9</v>
      </c>
      <c r="I76" s="187">
        <v>37.17</v>
      </c>
      <c r="J76" s="192">
        <v>67.7</v>
      </c>
      <c r="K76" s="195">
        <v>114.16</v>
      </c>
      <c r="L76" s="200">
        <v>78.319999999999993</v>
      </c>
      <c r="M76" s="205">
        <v>27</v>
      </c>
      <c r="N76" s="212">
        <v>37.17</v>
      </c>
      <c r="O76" s="217">
        <v>118.95</v>
      </c>
      <c r="P76" s="220">
        <v>163.27000000000001</v>
      </c>
      <c r="Q76" s="176">
        <v>131.41999999999999</v>
      </c>
      <c r="R76" s="172">
        <v>189.63</v>
      </c>
      <c r="S76" s="8">
        <f t="shared" si="3"/>
        <v>1224.5900000000001</v>
      </c>
      <c r="T76" s="1">
        <f>COUNT(F76:R76)</f>
        <v>12</v>
      </c>
      <c r="U76" s="31">
        <f>+S76/T76</f>
        <v>102.04916666666668</v>
      </c>
    </row>
    <row r="77" spans="1:22">
      <c r="A77" s="1">
        <v>74</v>
      </c>
      <c r="B77" s="1" t="s">
        <v>533</v>
      </c>
      <c r="C77" s="4">
        <v>70048</v>
      </c>
      <c r="D77" s="4"/>
      <c r="E77" s="1" t="s">
        <v>283</v>
      </c>
      <c r="F77" s="179">
        <v>3380.61</v>
      </c>
      <c r="G77" s="177"/>
      <c r="H77" s="184">
        <v>3265.89</v>
      </c>
      <c r="I77" s="187">
        <v>2939.14</v>
      </c>
      <c r="J77" s="192">
        <v>3149.4</v>
      </c>
      <c r="K77" s="195">
        <v>2830.31</v>
      </c>
      <c r="L77" s="200">
        <v>2454.33</v>
      </c>
      <c r="M77" s="205">
        <v>2299.4</v>
      </c>
      <c r="N77" s="212">
        <v>2018.02</v>
      </c>
      <c r="O77" s="217">
        <v>2664.82</v>
      </c>
      <c r="P77" s="220">
        <v>3412.03</v>
      </c>
      <c r="Q77" s="176">
        <v>3323.73</v>
      </c>
      <c r="R77" s="172">
        <v>3279.96</v>
      </c>
      <c r="S77" s="8">
        <f t="shared" si="3"/>
        <v>35017.64</v>
      </c>
      <c r="T77" s="1">
        <f t="shared" si="4"/>
        <v>12</v>
      </c>
      <c r="U77" s="31">
        <f t="shared" si="5"/>
        <v>2918.1366666666668</v>
      </c>
    </row>
    <row r="78" spans="1:22">
      <c r="A78" s="1">
        <v>75</v>
      </c>
      <c r="B78" s="1" t="s">
        <v>549</v>
      </c>
      <c r="C78" s="4">
        <v>70052</v>
      </c>
      <c r="D78" s="4"/>
      <c r="E78" s="1" t="s">
        <v>284</v>
      </c>
      <c r="F78" s="179">
        <v>5029.66</v>
      </c>
      <c r="G78" s="177"/>
      <c r="H78" s="184">
        <v>4441.2299999999996</v>
      </c>
      <c r="I78" s="187">
        <v>4317.76</v>
      </c>
      <c r="J78" s="192">
        <v>4682.47</v>
      </c>
      <c r="K78" s="195">
        <v>3972.6</v>
      </c>
      <c r="L78" s="200">
        <v>3070.64</v>
      </c>
      <c r="M78" s="205">
        <v>2960.21</v>
      </c>
      <c r="N78" s="212">
        <v>2632.32</v>
      </c>
      <c r="O78" s="217">
        <v>3514.6</v>
      </c>
      <c r="P78" s="220">
        <v>4481.43</v>
      </c>
      <c r="Q78" s="176">
        <v>4067.11</v>
      </c>
      <c r="R78" s="172">
        <v>4069.41</v>
      </c>
      <c r="S78" s="8">
        <f t="shared" si="3"/>
        <v>47239.44</v>
      </c>
      <c r="T78" s="1">
        <f t="shared" si="4"/>
        <v>12</v>
      </c>
      <c r="U78" s="31">
        <f t="shared" si="5"/>
        <v>3936.6200000000003</v>
      </c>
    </row>
    <row r="79" spans="1:22">
      <c r="A79" s="1">
        <v>76</v>
      </c>
      <c r="B79" s="1" t="s">
        <v>547</v>
      </c>
      <c r="C79" s="4">
        <v>70049</v>
      </c>
      <c r="D79" s="4">
        <v>120</v>
      </c>
      <c r="E79" s="1" t="s">
        <v>393</v>
      </c>
      <c r="F79" s="181">
        <v>218.4</v>
      </c>
      <c r="G79" s="176"/>
      <c r="H79" s="184">
        <v>252</v>
      </c>
      <c r="I79" s="187">
        <v>228</v>
      </c>
      <c r="J79" s="192">
        <v>250.2</v>
      </c>
      <c r="K79" s="195">
        <v>261.60000000000002</v>
      </c>
      <c r="L79" s="200">
        <v>207.6</v>
      </c>
      <c r="M79" s="205">
        <v>271.2</v>
      </c>
      <c r="N79" s="212">
        <v>247.8</v>
      </c>
      <c r="O79" s="217">
        <v>263.39999999999998</v>
      </c>
      <c r="P79" s="220">
        <v>261</v>
      </c>
      <c r="Q79" s="176">
        <v>224.4</v>
      </c>
      <c r="R79" s="172">
        <v>291</v>
      </c>
      <c r="S79" s="8">
        <f t="shared" si="3"/>
        <v>2976.6</v>
      </c>
      <c r="T79" s="1">
        <f t="shared" si="4"/>
        <v>12</v>
      </c>
      <c r="U79" s="31">
        <f t="shared" si="5"/>
        <v>248.04999999999998</v>
      </c>
    </row>
    <row r="80" spans="1:22">
      <c r="A80" s="1">
        <v>77</v>
      </c>
      <c r="B80" s="1" t="s">
        <v>539</v>
      </c>
      <c r="C80" s="4">
        <v>70071</v>
      </c>
      <c r="D80" s="4">
        <v>180</v>
      </c>
      <c r="E80" s="1" t="s">
        <v>286</v>
      </c>
      <c r="F80" s="181">
        <v>225.24</v>
      </c>
      <c r="G80" s="176"/>
      <c r="H80" s="184">
        <v>300.54000000000002</v>
      </c>
      <c r="I80" s="187">
        <v>396.3</v>
      </c>
      <c r="J80" s="192">
        <v>957.5</v>
      </c>
      <c r="K80" s="195">
        <v>309.66000000000003</v>
      </c>
      <c r="L80" s="200">
        <v>147.18</v>
      </c>
      <c r="M80" s="205">
        <v>143.4</v>
      </c>
      <c r="N80" s="212">
        <v>49.86</v>
      </c>
      <c r="O80" s="217">
        <v>512.16</v>
      </c>
      <c r="P80" s="220">
        <v>1176.33</v>
      </c>
      <c r="Q80" s="176">
        <v>964.08</v>
      </c>
      <c r="R80" s="172">
        <v>659.16</v>
      </c>
      <c r="S80" s="8">
        <f t="shared" si="3"/>
        <v>5841.41</v>
      </c>
      <c r="T80" s="1">
        <f t="shared" si="4"/>
        <v>12</v>
      </c>
      <c r="U80" s="31">
        <f t="shared" si="5"/>
        <v>486.78416666666664</v>
      </c>
    </row>
    <row r="81" spans="1:21">
      <c r="A81" s="1">
        <v>78</v>
      </c>
      <c r="C81" s="4">
        <v>15019612</v>
      </c>
      <c r="D81" s="4"/>
      <c r="E81" s="1" t="s">
        <v>365</v>
      </c>
      <c r="F81" s="181">
        <v>76.5</v>
      </c>
      <c r="G81" s="176"/>
      <c r="H81" s="184">
        <v>108</v>
      </c>
      <c r="I81" s="187">
        <v>78</v>
      </c>
      <c r="J81" s="192">
        <v>73.5</v>
      </c>
      <c r="K81" s="200">
        <v>51</v>
      </c>
      <c r="L81" s="200">
        <v>45</v>
      </c>
      <c r="M81" s="205">
        <v>0</v>
      </c>
      <c r="N81" s="212">
        <v>18</v>
      </c>
      <c r="O81" s="217">
        <v>126</v>
      </c>
      <c r="P81" s="176">
        <v>138</v>
      </c>
      <c r="Q81" s="176">
        <v>72</v>
      </c>
      <c r="R81" s="172">
        <v>48</v>
      </c>
      <c r="S81" s="8">
        <f t="shared" si="3"/>
        <v>834</v>
      </c>
      <c r="T81" s="1">
        <f t="shared" si="4"/>
        <v>12</v>
      </c>
      <c r="U81" s="31">
        <f t="shared" si="5"/>
        <v>69.5</v>
      </c>
    </row>
    <row r="82" spans="1:21">
      <c r="A82" s="1">
        <v>79</v>
      </c>
      <c r="B82" s="1" t="s">
        <v>531</v>
      </c>
      <c r="C82" s="4">
        <v>70098</v>
      </c>
      <c r="D82" s="4"/>
      <c r="E82" s="1" t="s">
        <v>113</v>
      </c>
      <c r="F82" s="181">
        <v>333.29</v>
      </c>
      <c r="G82" s="176"/>
      <c r="H82" s="184">
        <v>171</v>
      </c>
      <c r="I82" s="187">
        <v>99</v>
      </c>
      <c r="J82" s="192">
        <v>201</v>
      </c>
      <c r="K82" s="195">
        <v>133.02000000000001</v>
      </c>
      <c r="L82" s="200">
        <v>129</v>
      </c>
      <c r="M82" s="205">
        <v>0</v>
      </c>
      <c r="N82" s="212">
        <v>102</v>
      </c>
      <c r="O82" s="217">
        <v>270</v>
      </c>
      <c r="P82" s="220">
        <v>279.86</v>
      </c>
      <c r="Q82" s="176">
        <v>332.14</v>
      </c>
      <c r="R82" s="181">
        <v>315</v>
      </c>
      <c r="S82" s="8">
        <f t="shared" si="3"/>
        <v>2365.31</v>
      </c>
      <c r="T82" s="1">
        <f t="shared" si="4"/>
        <v>12</v>
      </c>
      <c r="U82" s="31">
        <f t="shared" si="5"/>
        <v>197.10916666666665</v>
      </c>
    </row>
    <row r="83" spans="1:21">
      <c r="A83" s="1">
        <v>80</v>
      </c>
      <c r="B83" s="1" t="s">
        <v>550</v>
      </c>
      <c r="C83" s="42">
        <v>7007701</v>
      </c>
      <c r="D83" s="42">
        <v>122</v>
      </c>
      <c r="E83" s="11" t="s">
        <v>98</v>
      </c>
      <c r="F83" s="179">
        <v>6771.36</v>
      </c>
      <c r="G83" s="177"/>
      <c r="H83" s="184">
        <v>5248</v>
      </c>
      <c r="I83" s="187">
        <v>6529.26</v>
      </c>
      <c r="J83" s="192">
        <v>10125.780000000001</v>
      </c>
      <c r="K83" s="195">
        <v>7263.06</v>
      </c>
      <c r="L83" s="200">
        <v>4065</v>
      </c>
      <c r="M83" s="205">
        <v>5095.0200000000004</v>
      </c>
      <c r="N83" s="212">
        <f>810.3+5095.02</f>
        <v>5905.3200000000006</v>
      </c>
      <c r="O83" s="217">
        <v>9422.1</v>
      </c>
      <c r="P83" s="220">
        <v>10252.530000000001</v>
      </c>
      <c r="Q83" s="176">
        <v>7300.68</v>
      </c>
      <c r="R83" s="172">
        <v>6736.38</v>
      </c>
      <c r="S83" s="8">
        <f t="shared" si="3"/>
        <v>84714.489999999991</v>
      </c>
      <c r="T83" s="1">
        <f t="shared" si="4"/>
        <v>12</v>
      </c>
      <c r="U83" s="31">
        <f t="shared" si="5"/>
        <v>7059.5408333333326</v>
      </c>
    </row>
    <row r="84" spans="1:21">
      <c r="A84" s="1">
        <v>81</v>
      </c>
      <c r="B84" s="22"/>
      <c r="C84" s="51">
        <v>70094</v>
      </c>
      <c r="D84" s="51"/>
      <c r="E84" s="52" t="s">
        <v>95</v>
      </c>
      <c r="F84" s="182"/>
      <c r="G84" s="178"/>
      <c r="H84" s="186"/>
      <c r="I84" s="190"/>
      <c r="J84" s="194"/>
      <c r="K84" s="198"/>
      <c r="L84" s="203"/>
      <c r="M84" s="207"/>
      <c r="N84" s="210"/>
      <c r="O84" s="214"/>
      <c r="P84" s="223"/>
      <c r="Q84" s="224"/>
      <c r="R84" s="174"/>
      <c r="S84" s="33">
        <f t="shared" si="3"/>
        <v>0</v>
      </c>
      <c r="T84" s="22">
        <f t="shared" si="4"/>
        <v>0</v>
      </c>
      <c r="U84" s="34" t="e">
        <f t="shared" si="5"/>
        <v>#DIV/0!</v>
      </c>
    </row>
    <row r="85" spans="1:21">
      <c r="F85" s="31"/>
      <c r="G85" s="31"/>
      <c r="H85" s="31"/>
      <c r="I85" s="31"/>
      <c r="J85" s="31"/>
      <c r="K85" s="31"/>
      <c r="L85" s="31"/>
      <c r="M85" s="31"/>
    </row>
    <row r="86" spans="1:21">
      <c r="E86" s="1" t="s">
        <v>140</v>
      </c>
      <c r="F86" s="31">
        <f>+SUM(F2:F84)</f>
        <v>835543.86</v>
      </c>
      <c r="G86" s="31"/>
      <c r="H86" s="31">
        <f t="shared" ref="H86:Q86" si="6">+SUM(H2:H84)</f>
        <v>694484.07</v>
      </c>
      <c r="I86" s="31">
        <f t="shared" si="6"/>
        <v>764296.89000000025</v>
      </c>
      <c r="J86" s="31">
        <f t="shared" si="6"/>
        <v>937017.23999999976</v>
      </c>
      <c r="K86" s="31">
        <f t="shared" si="6"/>
        <v>577024.92000000027</v>
      </c>
      <c r="L86" s="31">
        <f t="shared" si="6"/>
        <v>444330.02999999997</v>
      </c>
      <c r="M86" s="31">
        <f t="shared" si="6"/>
        <v>465676.62000000011</v>
      </c>
      <c r="N86" s="31">
        <f t="shared" si="6"/>
        <v>535480.47</v>
      </c>
      <c r="O86" s="31">
        <f t="shared" si="6"/>
        <v>765846.12999999977</v>
      </c>
      <c r="P86" s="31">
        <f t="shared" si="6"/>
        <v>957430.39</v>
      </c>
      <c r="Q86" s="31">
        <f t="shared" si="6"/>
        <v>831902.01000000024</v>
      </c>
      <c r="R86" s="31">
        <f>SUM(R2:R84)</f>
        <v>750450.03999999992</v>
      </c>
      <c r="S86" s="31">
        <f>SUM(S3:S84)</f>
        <v>8550311.5700000022</v>
      </c>
      <c r="U86" s="31">
        <f>+S86/10</f>
        <v>855031.15700000024</v>
      </c>
    </row>
    <row r="87" spans="1:21">
      <c r="E87" s="1" t="s">
        <v>348</v>
      </c>
      <c r="F87" s="68"/>
      <c r="G87" s="68"/>
      <c r="H87" s="68"/>
      <c r="I87" s="68">
        <f>-I36</f>
        <v>-26086.15</v>
      </c>
      <c r="J87" s="68">
        <f>-J3-J9-J15-J36-J42-J46-J48-J68</f>
        <v>-108934.58</v>
      </c>
      <c r="K87" s="68">
        <f>-K6-K9-K33-K36-K48-K53-K57-K73-K81</f>
        <v>-56080.349999999991</v>
      </c>
      <c r="L87" s="68">
        <f>-L6-L9-L33-L36-L48</f>
        <v>-35736.04</v>
      </c>
      <c r="M87" s="68">
        <f>-M6-M9-M33-M36-M48</f>
        <v>-41801.29</v>
      </c>
      <c r="N87" s="68">
        <f>+L36+M48</f>
        <v>17823.98</v>
      </c>
      <c r="O87" s="68">
        <f>(+O6+O9+O18+O33+O36+O61)*-1</f>
        <v>-45216.44</v>
      </c>
      <c r="P87" s="68">
        <f>-P6-P9-P36-P81</f>
        <v>-20758.080000000002</v>
      </c>
      <c r="Q87" s="68">
        <f>-Q6-Q36-Q61</f>
        <v>-3157.47</v>
      </c>
      <c r="R87" s="68">
        <f>-R6-R36-R44-R48-R61-R82-R72-R30</f>
        <v>-77495.14</v>
      </c>
      <c r="S87" s="31">
        <f t="shared" ref="S87:S93" si="7">+SUM(F87:R87)</f>
        <v>-397441.56</v>
      </c>
    </row>
    <row r="88" spans="1:21">
      <c r="E88" s="1" t="s">
        <v>349</v>
      </c>
      <c r="F88" s="68"/>
      <c r="G88" s="68"/>
      <c r="H88" s="68"/>
      <c r="I88" s="68"/>
      <c r="J88" s="68">
        <f>+I36</f>
        <v>26086.15</v>
      </c>
      <c r="K88" s="68">
        <f>+J3+J48</f>
        <v>33911.839999999997</v>
      </c>
      <c r="L88" s="68">
        <f>+J9+K9+J15+J36+K36+J42+J46+K48+K53+K57+J68+K73+K81</f>
        <v>108395.03</v>
      </c>
      <c r="M88" s="68">
        <f>+L9+L48</f>
        <v>11209.02</v>
      </c>
      <c r="N88" s="68">
        <f>-N6-N9-N33-N36-N48-N50-N53-N61-N7-N19-N22</f>
        <v>-53585.06</v>
      </c>
      <c r="O88" s="68">
        <f>+N7+N9+N19+N22+M36+N48+N53</f>
        <v>30868.460000000003</v>
      </c>
      <c r="P88" s="68">
        <f>+K33+L33+M33+N33+O33+N36+O9</f>
        <v>110886.65999999999</v>
      </c>
      <c r="Q88" s="68">
        <f>+M9+P9+P81+O36</f>
        <v>18151.739999999998</v>
      </c>
      <c r="R88" s="68"/>
      <c r="S88" s="31">
        <f t="shared" si="7"/>
        <v>285923.83999999997</v>
      </c>
    </row>
    <row r="89" spans="1:21">
      <c r="E89" s="1" t="s">
        <v>301</v>
      </c>
      <c r="F89" s="69">
        <f t="shared" ref="F89:P89" si="8">+SUM(F86:F88)</f>
        <v>835543.86</v>
      </c>
      <c r="G89" s="69"/>
      <c r="H89" s="69">
        <f t="shared" si="8"/>
        <v>694484.07</v>
      </c>
      <c r="I89" s="69">
        <f t="shared" si="8"/>
        <v>738210.74000000022</v>
      </c>
      <c r="J89" s="69">
        <f t="shared" si="8"/>
        <v>854168.80999999982</v>
      </c>
      <c r="K89" s="69">
        <f>+SUM(K86:K88)</f>
        <v>554856.41000000027</v>
      </c>
      <c r="L89" s="69">
        <f t="shared" si="8"/>
        <v>516989.02</v>
      </c>
      <c r="M89" s="69">
        <f t="shared" si="8"/>
        <v>435084.35000000015</v>
      </c>
      <c r="N89" s="69">
        <f t="shared" si="8"/>
        <v>499719.38999999996</v>
      </c>
      <c r="O89" s="69">
        <f t="shared" si="8"/>
        <v>751498.14999999967</v>
      </c>
      <c r="P89" s="69">
        <f t="shared" si="8"/>
        <v>1047558.9700000001</v>
      </c>
      <c r="Q89" s="69">
        <f>+SUM(Q86:Q88)</f>
        <v>846896.28000000026</v>
      </c>
      <c r="R89" s="69">
        <f>+SUM(R86:R88)</f>
        <v>672954.89999999991</v>
      </c>
      <c r="S89" s="34">
        <f t="shared" si="7"/>
        <v>8447964.9499999993</v>
      </c>
    </row>
    <row r="90" spans="1:21">
      <c r="E90" s="67" t="s">
        <v>304</v>
      </c>
      <c r="F90" s="68">
        <f t="shared" ref="F90:R90" si="9">+F89/6*4</f>
        <v>557029.24</v>
      </c>
      <c r="G90" s="68"/>
      <c r="H90" s="68">
        <f t="shared" si="9"/>
        <v>462989.37999999995</v>
      </c>
      <c r="I90" s="68">
        <f t="shared" si="9"/>
        <v>492140.49333333346</v>
      </c>
      <c r="J90" s="68">
        <f t="shared" si="9"/>
        <v>569445.87333333318</v>
      </c>
      <c r="K90" s="68">
        <f t="shared" si="9"/>
        <v>369904.27333333349</v>
      </c>
      <c r="L90" s="68">
        <f t="shared" si="9"/>
        <v>344659.34666666668</v>
      </c>
      <c r="M90" s="68">
        <f>+M89/6*4</f>
        <v>290056.23333333345</v>
      </c>
      <c r="N90" s="68">
        <f t="shared" si="9"/>
        <v>333146.25999999995</v>
      </c>
      <c r="O90" s="68">
        <f t="shared" si="9"/>
        <v>500998.76666666643</v>
      </c>
      <c r="P90" s="68">
        <f t="shared" si="9"/>
        <v>698372.64666666673</v>
      </c>
      <c r="Q90" s="68">
        <f t="shared" si="9"/>
        <v>564597.52000000014</v>
      </c>
      <c r="R90" s="68">
        <f t="shared" si="9"/>
        <v>448636.59999999992</v>
      </c>
      <c r="S90" s="31">
        <f t="shared" si="7"/>
        <v>5631976.6333333328</v>
      </c>
    </row>
    <row r="91" spans="1:21">
      <c r="E91" s="67" t="s">
        <v>305</v>
      </c>
      <c r="F91" s="68">
        <f t="shared" ref="F91:R91" si="10">+F89/6*2</f>
        <v>278514.62</v>
      </c>
      <c r="G91" s="68"/>
      <c r="H91" s="68">
        <f t="shared" si="10"/>
        <v>231494.68999999997</v>
      </c>
      <c r="I91" s="68">
        <f t="shared" si="10"/>
        <v>246070.24666666673</v>
      </c>
      <c r="J91" s="68">
        <f t="shared" si="10"/>
        <v>284722.93666666659</v>
      </c>
      <c r="K91" s="68">
        <f t="shared" si="10"/>
        <v>184952.13666666675</v>
      </c>
      <c r="L91" s="68">
        <f t="shared" si="10"/>
        <v>172329.67333333334</v>
      </c>
      <c r="M91" s="68">
        <f>+M89/6*2</f>
        <v>145028.11666666673</v>
      </c>
      <c r="N91" s="68">
        <f t="shared" si="10"/>
        <v>166573.12999999998</v>
      </c>
      <c r="O91" s="68">
        <f t="shared" si="10"/>
        <v>250499.38333333321</v>
      </c>
      <c r="P91" s="68">
        <f t="shared" si="10"/>
        <v>349186.32333333336</v>
      </c>
      <c r="Q91" s="68">
        <f t="shared" si="10"/>
        <v>282298.76000000007</v>
      </c>
      <c r="R91" s="68">
        <f t="shared" si="10"/>
        <v>224318.29999999996</v>
      </c>
      <c r="S91" s="31">
        <f t="shared" si="7"/>
        <v>2815988.3166666664</v>
      </c>
    </row>
    <row r="92" spans="1:21">
      <c r="E92" s="1" t="s">
        <v>302</v>
      </c>
      <c r="F92" s="68">
        <f t="shared" ref="F92:R92" si="11">+F91*0.01</f>
        <v>2785.1462000000001</v>
      </c>
      <c r="G92" s="68"/>
      <c r="H92" s="68">
        <f t="shared" si="11"/>
        <v>2314.9468999999999</v>
      </c>
      <c r="I92" s="68">
        <f t="shared" si="11"/>
        <v>2460.7024666666675</v>
      </c>
      <c r="J92" s="68">
        <f t="shared" si="11"/>
        <v>2847.229366666666</v>
      </c>
      <c r="K92" s="68">
        <f t="shared" si="11"/>
        <v>1849.5213666666675</v>
      </c>
      <c r="L92" s="68">
        <f t="shared" si="11"/>
        <v>1723.2967333333333</v>
      </c>
      <c r="M92" s="68">
        <f>+M91*0.01</f>
        <v>1450.2811666666673</v>
      </c>
      <c r="N92" s="68">
        <f t="shared" si="11"/>
        <v>1665.7312999999997</v>
      </c>
      <c r="O92" s="68">
        <f t="shared" si="11"/>
        <v>2504.9938333333321</v>
      </c>
      <c r="P92" s="68">
        <f t="shared" si="11"/>
        <v>3491.8632333333335</v>
      </c>
      <c r="Q92" s="68">
        <f t="shared" si="11"/>
        <v>2822.9876000000008</v>
      </c>
      <c r="R92" s="68">
        <f t="shared" si="11"/>
        <v>2243.1829999999995</v>
      </c>
      <c r="S92" s="31">
        <f t="shared" si="7"/>
        <v>28159.883166666667</v>
      </c>
    </row>
    <row r="93" spans="1:21">
      <c r="E93" s="1" t="s">
        <v>303</v>
      </c>
      <c r="F93" s="71">
        <f t="shared" ref="F93:R93" si="12">+F90-F92</f>
        <v>554244.09380000003</v>
      </c>
      <c r="G93" s="71"/>
      <c r="H93" s="71">
        <f t="shared" si="12"/>
        <v>460674.43309999997</v>
      </c>
      <c r="I93" s="71">
        <f t="shared" si="12"/>
        <v>489679.79086666682</v>
      </c>
      <c r="J93" s="71">
        <f t="shared" si="12"/>
        <v>566598.64396666654</v>
      </c>
      <c r="K93" s="71">
        <f t="shared" si="12"/>
        <v>368054.75196666684</v>
      </c>
      <c r="L93" s="71">
        <f t="shared" si="12"/>
        <v>342936.04993333336</v>
      </c>
      <c r="M93" s="71">
        <f t="shared" si="12"/>
        <v>288605.9521666668</v>
      </c>
      <c r="N93" s="71">
        <f t="shared" si="12"/>
        <v>331480.52869999997</v>
      </c>
      <c r="O93" s="71">
        <f t="shared" si="12"/>
        <v>498493.77283333312</v>
      </c>
      <c r="P93" s="71">
        <f t="shared" si="12"/>
        <v>694880.78343333339</v>
      </c>
      <c r="Q93" s="71">
        <f t="shared" si="12"/>
        <v>561774.53240000014</v>
      </c>
      <c r="R93" s="71">
        <f t="shared" si="12"/>
        <v>446393.4169999999</v>
      </c>
      <c r="S93" s="34">
        <f t="shared" si="7"/>
        <v>5603816.7501666658</v>
      </c>
    </row>
    <row r="94" spans="1:21">
      <c r="I94" s="70"/>
      <c r="K94" s="70"/>
      <c r="M94" s="70"/>
      <c r="O94" s="70"/>
      <c r="Q94" s="70"/>
      <c r="R94" s="70"/>
      <c r="S94" s="31"/>
    </row>
    <row r="95" spans="1:21">
      <c r="F95" s="70"/>
      <c r="G95" s="70"/>
      <c r="H95" s="70"/>
      <c r="I95" s="70"/>
      <c r="J95" s="70"/>
      <c r="K95" s="70"/>
      <c r="M95" s="70"/>
      <c r="N95" s="70"/>
      <c r="O95" s="70"/>
      <c r="P95" s="70"/>
      <c r="Q95" s="70"/>
      <c r="R95" s="8"/>
    </row>
    <row r="96" spans="1:21">
      <c r="E96" s="70"/>
      <c r="F96" s="70"/>
      <c r="G96" s="70"/>
      <c r="H96" s="70"/>
      <c r="I96" s="70"/>
      <c r="J96" s="8"/>
      <c r="K96" s="70"/>
      <c r="N96" s="70"/>
      <c r="O96" s="70"/>
      <c r="P96" s="70"/>
    </row>
    <row r="97" spans="3:19" s="137" customFormat="1">
      <c r="C97" s="137" t="s">
        <v>390</v>
      </c>
      <c r="F97" s="137">
        <v>14216591</v>
      </c>
      <c r="H97" s="137">
        <v>12320911</v>
      </c>
      <c r="I97" s="137">
        <v>12949730</v>
      </c>
      <c r="J97" s="137">
        <v>16845365</v>
      </c>
      <c r="K97" s="137">
        <v>10420651</v>
      </c>
      <c r="L97" s="137">
        <v>8022536</v>
      </c>
      <c r="M97" s="137">
        <v>8357921</v>
      </c>
      <c r="N97" s="137">
        <v>9650194</v>
      </c>
      <c r="O97" s="137">
        <v>13703375</v>
      </c>
      <c r="P97" s="137">
        <v>17163168</v>
      </c>
      <c r="Q97" s="68">
        <v>14945188</v>
      </c>
      <c r="R97" s="137">
        <v>13613457</v>
      </c>
      <c r="S97" s="137">
        <f>+SUM(F97:R97)</f>
        <v>152209087</v>
      </c>
    </row>
    <row r="98" spans="3:19" s="158" customFormat="1">
      <c r="C98" s="158" t="s">
        <v>389</v>
      </c>
      <c r="F98" s="158">
        <f>+F97*0.06</f>
        <v>852995.46</v>
      </c>
      <c r="H98" s="158">
        <f t="shared" ref="H98:N98" si="13">+H97*0.06</f>
        <v>739254.65999999992</v>
      </c>
      <c r="I98" s="158">
        <f t="shared" si="13"/>
        <v>776983.79999999993</v>
      </c>
      <c r="J98" s="158">
        <f t="shared" si="13"/>
        <v>1010721.8999999999</v>
      </c>
      <c r="K98" s="158">
        <f t="shared" si="13"/>
        <v>625239.05999999994</v>
      </c>
      <c r="L98" s="158">
        <f t="shared" si="13"/>
        <v>481352.16</v>
      </c>
      <c r="M98" s="158">
        <f t="shared" si="13"/>
        <v>501475.26</v>
      </c>
      <c r="N98" s="158">
        <f t="shared" si="13"/>
        <v>579011.64</v>
      </c>
      <c r="O98" s="158">
        <f>+O97*0.06</f>
        <v>822202.5</v>
      </c>
      <c r="P98" s="158">
        <f>+P97*0.06</f>
        <v>1029790.08</v>
      </c>
      <c r="Q98" s="158">
        <f>+Q97*0.06</f>
        <v>896711.27999999991</v>
      </c>
      <c r="R98" s="158">
        <f>+R97*0.06</f>
        <v>816807.41999999993</v>
      </c>
      <c r="S98" s="137">
        <f>+SUM(F98:R98)</f>
        <v>9132545.2199999988</v>
      </c>
    </row>
    <row r="99" spans="3:19" s="158" customFormat="1">
      <c r="C99" s="159" t="s">
        <v>391</v>
      </c>
      <c r="D99" s="159"/>
      <c r="E99" s="159"/>
      <c r="F99" s="219">
        <f t="shared" ref="F99:N99" si="14">+F89-F98</f>
        <v>-17451.599999999977</v>
      </c>
      <c r="G99" s="219">
        <f t="shared" si="14"/>
        <v>0</v>
      </c>
      <c r="H99" s="219">
        <f t="shared" si="14"/>
        <v>-44770.589999999967</v>
      </c>
      <c r="I99" s="219">
        <f t="shared" si="14"/>
        <v>-38773.059999999707</v>
      </c>
      <c r="J99" s="219">
        <f t="shared" si="14"/>
        <v>-156553.09000000008</v>
      </c>
      <c r="K99" s="219">
        <f t="shared" si="14"/>
        <v>-70382.649999999674</v>
      </c>
      <c r="L99" s="219">
        <f t="shared" si="14"/>
        <v>35636.860000000044</v>
      </c>
      <c r="M99" s="219">
        <f t="shared" si="14"/>
        <v>-66390.909999999858</v>
      </c>
      <c r="N99" s="219">
        <f t="shared" si="14"/>
        <v>-79292.250000000058</v>
      </c>
      <c r="O99" s="219">
        <f>+O89-O98</f>
        <v>-70704.350000000326</v>
      </c>
      <c r="P99" s="219">
        <f>+P89-P98</f>
        <v>17768.89000000013</v>
      </c>
      <c r="Q99" s="219">
        <f>+Q89-Q98</f>
        <v>-49814.999999999651</v>
      </c>
      <c r="R99" s="219">
        <f>+R89-R98</f>
        <v>-143852.52000000002</v>
      </c>
      <c r="S99" s="160">
        <f>+SUM(F99:R99)</f>
        <v>-684580.26999999909</v>
      </c>
    </row>
    <row r="100" spans="3:19" s="78" customFormat="1">
      <c r="C100" s="78" t="s">
        <v>392</v>
      </c>
      <c r="F100" s="78">
        <f>+F99/F98</f>
        <v>-2.0459194472148747E-2</v>
      </c>
      <c r="H100" s="78">
        <f t="shared" ref="H100:N100" si="15">+H99/H98</f>
        <v>-6.0561796120432942E-2</v>
      </c>
      <c r="I100" s="78">
        <f t="shared" si="15"/>
        <v>-4.9902018549163714E-2</v>
      </c>
      <c r="J100" s="78">
        <f t="shared" si="15"/>
        <v>-0.15489234971558458</v>
      </c>
      <c r="K100" s="78">
        <f t="shared" si="15"/>
        <v>-0.11256918273787898</v>
      </c>
      <c r="L100" s="78">
        <f t="shared" si="15"/>
        <v>7.4034902014358986E-2</v>
      </c>
      <c r="M100" s="78">
        <f t="shared" si="15"/>
        <v>-0.13239119712505829</v>
      </c>
      <c r="N100" s="78">
        <f t="shared" si="15"/>
        <v>-0.1369441381178452</v>
      </c>
      <c r="O100" s="78">
        <f>+O99/O98</f>
        <v>-8.5993839717101714E-2</v>
      </c>
      <c r="P100" s="78">
        <f>+P99/P98</f>
        <v>1.7254866156799772E-2</v>
      </c>
      <c r="Q100" s="78">
        <f>+Q99/Q98</f>
        <v>-5.5552998061984514E-2</v>
      </c>
      <c r="R100" s="78">
        <f>+R99/R98</f>
        <v>-0.17611558915564213</v>
      </c>
      <c r="S100" s="78">
        <f>+S99/S98</f>
        <v>-7.4960512486791628E-2</v>
      </c>
    </row>
  </sheetData>
  <printOptions horizontalCentered="1"/>
  <pageMargins left="0.25" right="0.25" top="0.5" bottom="0.25" header="0.25" footer="0.25"/>
  <pageSetup scale="58" fitToHeight="2" orientation="landscape" r:id="rId1"/>
  <headerFooter alignWithMargins="0">
    <oddHeader>&amp;C&amp;"Arial,Bold"&amp;11Occupancy Tax Receipts
Fiscal Year 2013</oddHead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U99"/>
  <sheetViews>
    <sheetView zoomScale="125" workbookViewId="0">
      <pane xSplit="6" ySplit="1" topLeftCell="M90" activePane="bottomRight" state="frozen"/>
      <selection pane="topRight" activeCell="C1" sqref="C1"/>
      <selection pane="bottomLeft" activeCell="A2" sqref="A2"/>
      <selection pane="bottomRight" activeCell="S93" sqref="S93"/>
    </sheetView>
  </sheetViews>
  <sheetFormatPr defaultColWidth="9.08984375" defaultRowHeight="10"/>
  <cols>
    <col min="1" max="1" width="2.6328125" style="1" bestFit="1" customWidth="1"/>
    <col min="2" max="2" width="10.54296875" style="1" customWidth="1"/>
    <col min="3" max="3" width="7.90625" style="1" bestFit="1" customWidth="1"/>
    <col min="4" max="4" width="7.90625" style="1" hidden="1" customWidth="1"/>
    <col min="5" max="5" width="27.36328125" style="1" customWidth="1"/>
    <col min="6" max="6" width="32.08984375" style="1" bestFit="1" customWidth="1"/>
    <col min="7" max="9" width="12" style="1" bestFit="1" customWidth="1"/>
    <col min="10" max="10" width="13.453125" style="1" bestFit="1" customWidth="1"/>
    <col min="11" max="11" width="12" style="1" customWidth="1"/>
    <col min="12" max="16" width="10.6328125" style="1" customWidth="1"/>
    <col min="17" max="17" width="12" style="1" bestFit="1" customWidth="1"/>
    <col min="18" max="18" width="10.6328125" style="1" customWidth="1"/>
    <col min="19" max="19" width="13.6328125" style="1" customWidth="1"/>
    <col min="20" max="20" width="9.08984375" style="1" hidden="1" customWidth="1"/>
    <col min="21" max="21" width="10.6328125" style="1" customWidth="1"/>
    <col min="22" max="16384" width="9.08984375" style="1"/>
  </cols>
  <sheetData>
    <row r="1" spans="1:21" s="17" customFormat="1" ht="21">
      <c r="B1" s="17" t="s">
        <v>523</v>
      </c>
      <c r="C1" s="14" t="s">
        <v>82</v>
      </c>
      <c r="D1" s="20" t="s">
        <v>370</v>
      </c>
      <c r="E1" s="15" t="s">
        <v>524</v>
      </c>
      <c r="F1" s="15" t="s">
        <v>0</v>
      </c>
      <c r="G1" s="89" t="s">
        <v>491</v>
      </c>
      <c r="H1" s="88" t="s">
        <v>492</v>
      </c>
      <c r="I1" s="231" t="s">
        <v>493</v>
      </c>
      <c r="J1" s="98" t="s">
        <v>494</v>
      </c>
      <c r="K1" s="95" t="s">
        <v>495</v>
      </c>
      <c r="L1" s="102" t="s">
        <v>496</v>
      </c>
      <c r="M1" s="208" t="s">
        <v>485</v>
      </c>
      <c r="N1" s="109" t="s">
        <v>486</v>
      </c>
      <c r="O1" s="215" t="s">
        <v>487</v>
      </c>
      <c r="P1" s="131" t="s">
        <v>488</v>
      </c>
      <c r="Q1" s="257" t="s">
        <v>489</v>
      </c>
      <c r="R1" s="147" t="s">
        <v>490</v>
      </c>
      <c r="S1" s="64" t="s">
        <v>143</v>
      </c>
      <c r="T1" s="64"/>
      <c r="U1" s="64" t="s">
        <v>142</v>
      </c>
    </row>
    <row r="2" spans="1:21" s="17" customFormat="1" ht="10.5">
      <c r="A2" s="1">
        <v>1</v>
      </c>
      <c r="B2" s="1" t="s">
        <v>530</v>
      </c>
      <c r="C2" s="4">
        <v>15006238</v>
      </c>
      <c r="D2" s="4">
        <v>4074</v>
      </c>
      <c r="E2" s="1" t="s">
        <v>499</v>
      </c>
      <c r="F2" s="1" t="s">
        <v>499</v>
      </c>
      <c r="G2" s="181">
        <v>21204.34</v>
      </c>
      <c r="H2" s="226">
        <v>19777.04</v>
      </c>
      <c r="I2" s="229">
        <v>16993.3</v>
      </c>
      <c r="J2" s="192">
        <v>24016.61</v>
      </c>
      <c r="K2" s="195">
        <v>15789.79</v>
      </c>
      <c r="L2" s="238">
        <v>12859.41</v>
      </c>
      <c r="M2" s="242">
        <v>12260.05</v>
      </c>
      <c r="N2" s="212">
        <v>14130.26</v>
      </c>
      <c r="O2" s="217">
        <v>19236.97</v>
      </c>
      <c r="P2" s="221">
        <v>24780.33</v>
      </c>
      <c r="Q2" s="256">
        <v>19845.07</v>
      </c>
      <c r="R2" s="259">
        <v>20007.22</v>
      </c>
      <c r="S2" s="8">
        <f>+SUM(G2:R2)</f>
        <v>220900.39000000004</v>
      </c>
      <c r="T2" s="1">
        <f>COUNT(G2:R2)</f>
        <v>12</v>
      </c>
      <c r="U2" s="31">
        <f t="shared" ref="U2:U68" si="0">+IF(S2=0,0,S2/T2)</f>
        <v>18408.365833333337</v>
      </c>
    </row>
    <row r="3" spans="1:21">
      <c r="A3" s="1">
        <v>2</v>
      </c>
      <c r="B3" s="1" t="s">
        <v>531</v>
      </c>
      <c r="C3" s="4">
        <v>15002216</v>
      </c>
      <c r="D3" s="4"/>
      <c r="E3" s="1" t="s">
        <v>329</v>
      </c>
      <c r="F3" s="1" t="s">
        <v>329</v>
      </c>
      <c r="G3" s="180"/>
      <c r="H3" s="228"/>
      <c r="I3" s="230">
        <v>38.159999999999997</v>
      </c>
      <c r="J3" s="234">
        <v>83.52</v>
      </c>
      <c r="K3" s="237">
        <v>0</v>
      </c>
      <c r="L3" s="239">
        <v>0</v>
      </c>
      <c r="M3" s="244">
        <v>0</v>
      </c>
      <c r="N3" s="246">
        <v>0</v>
      </c>
      <c r="O3" s="248">
        <v>0</v>
      </c>
      <c r="P3" s="220">
        <v>0</v>
      </c>
      <c r="Q3" s="254">
        <v>19.079999999999998</v>
      </c>
      <c r="R3" s="172">
        <v>0</v>
      </c>
      <c r="S3" s="8">
        <f>+SUM(G3:R3)</f>
        <v>140.76</v>
      </c>
      <c r="T3" s="1">
        <f>COUNT(G3:R3)</f>
        <v>10</v>
      </c>
      <c r="U3" s="31">
        <f t="shared" si="0"/>
        <v>14.075999999999999</v>
      </c>
    </row>
    <row r="4" spans="1:21">
      <c r="B4" s="1" t="s">
        <v>532</v>
      </c>
      <c r="C4" s="4">
        <v>15031812</v>
      </c>
      <c r="D4" s="4"/>
      <c r="E4" s="1" t="s">
        <v>227</v>
      </c>
      <c r="F4" s="1" t="s">
        <v>227</v>
      </c>
      <c r="G4" s="180"/>
      <c r="H4" s="228"/>
      <c r="I4" s="233"/>
      <c r="J4" s="234">
        <v>3928.09</v>
      </c>
      <c r="K4" s="237">
        <v>3497.75</v>
      </c>
      <c r="L4" s="239">
        <v>1988.69</v>
      </c>
      <c r="M4" s="244">
        <v>1619.49</v>
      </c>
      <c r="N4" s="246">
        <v>1466.31</v>
      </c>
      <c r="O4" s="248">
        <v>1378.34</v>
      </c>
      <c r="P4" s="220">
        <v>1280.42</v>
      </c>
      <c r="Q4" s="254">
        <v>268.27999999999997</v>
      </c>
      <c r="R4" s="172">
        <v>34.32</v>
      </c>
      <c r="S4" s="8"/>
      <c r="U4" s="31"/>
    </row>
    <row r="5" spans="1:21">
      <c r="A5" s="1">
        <v>3</v>
      </c>
      <c r="B5" s="1" t="s">
        <v>533</v>
      </c>
      <c r="C5" s="4">
        <v>15008670</v>
      </c>
      <c r="D5" s="4">
        <v>117</v>
      </c>
      <c r="E5" s="1" t="s">
        <v>114</v>
      </c>
      <c r="F5" s="1" t="s">
        <v>114</v>
      </c>
      <c r="G5" s="179">
        <v>3347.11</v>
      </c>
      <c r="H5" s="226">
        <v>3882.81</v>
      </c>
      <c r="I5" s="229">
        <v>3008.08</v>
      </c>
      <c r="J5" s="192">
        <v>3602.54</v>
      </c>
      <c r="K5" s="195">
        <v>2503.35</v>
      </c>
      <c r="L5" s="238">
        <v>2350.36</v>
      </c>
      <c r="M5" s="242">
        <v>3117.65</v>
      </c>
      <c r="N5" s="212">
        <v>2526.92</v>
      </c>
      <c r="O5" s="217">
        <v>3745.53</v>
      </c>
      <c r="P5" s="220">
        <v>4458.0600000000004</v>
      </c>
      <c r="Q5" s="254">
        <v>3974.68</v>
      </c>
      <c r="R5" s="172">
        <v>3726.01</v>
      </c>
      <c r="S5" s="8">
        <f t="shared" ref="S5:S33" si="1">+SUM(G5:R5)</f>
        <v>40243.1</v>
      </c>
      <c r="T5" s="1">
        <f t="shared" ref="T5:T33" si="2">COUNT(G5:R5)</f>
        <v>12</v>
      </c>
      <c r="U5" s="31">
        <f t="shared" si="0"/>
        <v>3353.5916666666667</v>
      </c>
    </row>
    <row r="6" spans="1:21">
      <c r="A6" s="1">
        <v>4</v>
      </c>
      <c r="C6" s="4">
        <v>7009700</v>
      </c>
      <c r="D6" s="4"/>
      <c r="E6" s="1" t="s">
        <v>346</v>
      </c>
      <c r="F6" s="1" t="s">
        <v>346</v>
      </c>
      <c r="G6" s="180"/>
      <c r="H6" s="228"/>
      <c r="I6" s="233"/>
      <c r="J6" s="193"/>
      <c r="K6" s="196"/>
      <c r="L6" s="240"/>
      <c r="M6" s="243"/>
      <c r="N6" s="211"/>
      <c r="O6" s="218"/>
      <c r="P6" s="222"/>
      <c r="Q6" s="255"/>
      <c r="R6" s="173"/>
      <c r="S6" s="8">
        <f t="shared" si="1"/>
        <v>0</v>
      </c>
      <c r="T6" s="1">
        <f t="shared" si="2"/>
        <v>0</v>
      </c>
      <c r="U6" s="31">
        <f t="shared" si="0"/>
        <v>0</v>
      </c>
    </row>
    <row r="7" spans="1:21">
      <c r="A7" s="1">
        <v>5</v>
      </c>
      <c r="B7" s="1" t="s">
        <v>534</v>
      </c>
      <c r="C7" s="4">
        <v>70000000</v>
      </c>
      <c r="D7" s="4">
        <v>89</v>
      </c>
      <c r="E7" s="1" t="s">
        <v>229</v>
      </c>
      <c r="F7" s="1" t="s">
        <v>229</v>
      </c>
      <c r="G7" s="179">
        <v>985.69</v>
      </c>
      <c r="H7" s="226">
        <v>1027.83</v>
      </c>
      <c r="I7" s="229">
        <v>1078.8599999999999</v>
      </c>
      <c r="J7" s="192">
        <v>1060.49</v>
      </c>
      <c r="K7" s="195">
        <v>925.58</v>
      </c>
      <c r="L7" s="238">
        <v>973.86</v>
      </c>
      <c r="M7" s="242">
        <v>1024</v>
      </c>
      <c r="N7" s="212">
        <v>1116.24</v>
      </c>
      <c r="O7" s="217">
        <v>1262.17</v>
      </c>
      <c r="P7" s="220">
        <v>1201.68</v>
      </c>
      <c r="Q7" s="254">
        <v>1188.6400000000001</v>
      </c>
      <c r="R7" s="172">
        <v>1170.03</v>
      </c>
      <c r="S7" s="8">
        <f t="shared" si="1"/>
        <v>13015.07</v>
      </c>
      <c r="T7" s="1">
        <f t="shared" si="2"/>
        <v>12</v>
      </c>
      <c r="U7" s="31">
        <f t="shared" si="0"/>
        <v>1084.5891666666666</v>
      </c>
    </row>
    <row r="8" spans="1:21">
      <c r="A8" s="1">
        <v>6</v>
      </c>
      <c r="B8" s="1" t="s">
        <v>535</v>
      </c>
      <c r="C8" s="4">
        <v>7003201</v>
      </c>
      <c r="D8" s="4">
        <v>4130</v>
      </c>
      <c r="E8" s="1" t="s">
        <v>525</v>
      </c>
      <c r="F8" s="1" t="s">
        <v>385</v>
      </c>
      <c r="G8" s="179">
        <v>9892.82</v>
      </c>
      <c r="H8" s="226">
        <v>8996.24</v>
      </c>
      <c r="I8" s="229">
        <v>9679.67</v>
      </c>
      <c r="J8" s="192">
        <v>11004.45</v>
      </c>
      <c r="K8" s="195">
        <v>8645.56</v>
      </c>
      <c r="L8" s="238">
        <v>5632.36</v>
      </c>
      <c r="M8" s="242">
        <v>6556.89</v>
      </c>
      <c r="N8" s="212">
        <v>6511.82</v>
      </c>
      <c r="O8" s="217">
        <v>8431.27</v>
      </c>
      <c r="P8" s="220">
        <v>11382.1</v>
      </c>
      <c r="Q8" s="254">
        <v>10016.43</v>
      </c>
      <c r="R8" s="172">
        <v>9190.16</v>
      </c>
      <c r="S8" s="8">
        <f t="shared" si="1"/>
        <v>105939.77000000002</v>
      </c>
      <c r="T8" s="1">
        <f t="shared" si="2"/>
        <v>12</v>
      </c>
      <c r="U8" s="31">
        <f t="shared" si="0"/>
        <v>8828.3141666666688</v>
      </c>
    </row>
    <row r="9" spans="1:21">
      <c r="A9" s="1">
        <v>7</v>
      </c>
      <c r="C9" s="4">
        <v>15019612</v>
      </c>
      <c r="D9" s="4"/>
      <c r="E9" s="1" t="s">
        <v>500</v>
      </c>
      <c r="F9" s="1" t="s">
        <v>500</v>
      </c>
      <c r="G9" s="181">
        <v>183</v>
      </c>
      <c r="H9" s="229">
        <v>138</v>
      </c>
      <c r="I9" s="195">
        <v>103.8</v>
      </c>
      <c r="J9" s="192">
        <v>90</v>
      </c>
      <c r="K9" s="238">
        <v>73.5</v>
      </c>
      <c r="L9" s="238">
        <v>55.5</v>
      </c>
      <c r="M9" s="212">
        <v>18</v>
      </c>
      <c r="N9" s="212">
        <v>24</v>
      </c>
      <c r="O9" s="217">
        <v>24</v>
      </c>
      <c r="P9" s="220">
        <v>150</v>
      </c>
      <c r="Q9" s="220">
        <v>120</v>
      </c>
      <c r="R9" s="172">
        <v>0</v>
      </c>
      <c r="S9" s="8">
        <f t="shared" si="1"/>
        <v>979.8</v>
      </c>
      <c r="T9" s="1">
        <f t="shared" si="2"/>
        <v>12</v>
      </c>
      <c r="U9" s="31">
        <f t="shared" si="0"/>
        <v>81.649999999999991</v>
      </c>
    </row>
    <row r="10" spans="1:21">
      <c r="A10" s="1">
        <v>8</v>
      </c>
      <c r="B10" s="1" t="s">
        <v>534</v>
      </c>
      <c r="C10" s="42">
        <v>7000200</v>
      </c>
      <c r="D10" s="42">
        <v>90</v>
      </c>
      <c r="E10" s="11" t="s">
        <v>230</v>
      </c>
      <c r="F10" s="11" t="s">
        <v>230</v>
      </c>
      <c r="G10" s="179">
        <v>1756.76</v>
      </c>
      <c r="H10" s="229">
        <v>1746.65</v>
      </c>
      <c r="I10" s="229">
        <v>1794.79</v>
      </c>
      <c r="J10" s="195">
        <v>1703.19</v>
      </c>
      <c r="K10" s="195">
        <v>1696.16</v>
      </c>
      <c r="L10" s="238">
        <v>1890.47</v>
      </c>
      <c r="M10" s="242">
        <v>1717.32</v>
      </c>
      <c r="N10" s="217">
        <v>1671.62</v>
      </c>
      <c r="O10" s="217">
        <v>1677.64</v>
      </c>
      <c r="P10" s="220">
        <f>1961.03+1292.67-1717.32</f>
        <v>1536.3799999999999</v>
      </c>
      <c r="Q10" s="172">
        <v>1756.52</v>
      </c>
      <c r="R10" s="184">
        <v>1766.73</v>
      </c>
      <c r="S10" s="8">
        <f t="shared" si="1"/>
        <v>20714.23</v>
      </c>
      <c r="T10" s="1">
        <f t="shared" si="2"/>
        <v>12</v>
      </c>
      <c r="U10" s="31">
        <f t="shared" si="0"/>
        <v>1726.1858333333332</v>
      </c>
    </row>
    <row r="11" spans="1:21">
      <c r="A11" s="1">
        <v>9</v>
      </c>
      <c r="B11" s="1" t="s">
        <v>532</v>
      </c>
      <c r="C11" s="4">
        <v>7004400</v>
      </c>
      <c r="D11" s="4"/>
      <c r="E11" s="1" t="s">
        <v>231</v>
      </c>
      <c r="F11" s="1" t="s">
        <v>231</v>
      </c>
      <c r="G11" s="179">
        <v>8400.26</v>
      </c>
      <c r="H11" s="226">
        <v>7035.35</v>
      </c>
      <c r="I11" s="229">
        <v>6680.36</v>
      </c>
      <c r="J11" s="192">
        <v>8978.89</v>
      </c>
      <c r="K11" s="195">
        <v>4534.3999999999996</v>
      </c>
      <c r="L11" s="238">
        <v>3316.39</v>
      </c>
      <c r="M11" s="242">
        <v>3033.45</v>
      </c>
      <c r="N11" s="212">
        <v>4555.4399999999996</v>
      </c>
      <c r="O11" s="217">
        <v>6602.91</v>
      </c>
      <c r="P11" s="220">
        <v>9638.31</v>
      </c>
      <c r="Q11" s="254">
        <v>6939.75</v>
      </c>
      <c r="R11" s="172">
        <v>3933.95</v>
      </c>
      <c r="S11" s="8">
        <f t="shared" si="1"/>
        <v>73649.459999999992</v>
      </c>
      <c r="T11" s="1">
        <f t="shared" si="2"/>
        <v>12</v>
      </c>
      <c r="U11" s="31">
        <f t="shared" si="0"/>
        <v>6137.454999999999</v>
      </c>
    </row>
    <row r="12" spans="1:21">
      <c r="A12" s="1">
        <v>10</v>
      </c>
      <c r="B12" s="1" t="s">
        <v>536</v>
      </c>
      <c r="C12" s="4">
        <v>7006700</v>
      </c>
      <c r="D12" s="4"/>
      <c r="E12" s="1" t="s">
        <v>232</v>
      </c>
      <c r="F12" s="1" t="s">
        <v>232</v>
      </c>
      <c r="G12" s="179">
        <v>3472.9</v>
      </c>
      <c r="H12" s="226">
        <v>2594.91</v>
      </c>
      <c r="I12" s="229">
        <v>2812.5</v>
      </c>
      <c r="J12" s="192">
        <v>3994.72</v>
      </c>
      <c r="K12" s="195">
        <v>2695.92</v>
      </c>
      <c r="L12" s="238">
        <v>1986.99</v>
      </c>
      <c r="M12" s="242">
        <v>1760.39</v>
      </c>
      <c r="N12" s="212">
        <v>2460.61</v>
      </c>
      <c r="O12" s="220">
        <v>3476.58</v>
      </c>
      <c r="P12" s="220">
        <v>4928.16</v>
      </c>
      <c r="Q12" s="254">
        <v>5391.09</v>
      </c>
      <c r="R12" s="172">
        <v>4527.68</v>
      </c>
      <c r="S12" s="8">
        <f t="shared" si="1"/>
        <v>40102.449999999997</v>
      </c>
      <c r="T12" s="1">
        <f t="shared" si="2"/>
        <v>12</v>
      </c>
      <c r="U12" s="31">
        <f t="shared" si="0"/>
        <v>3341.8708333333329</v>
      </c>
    </row>
    <row r="13" spans="1:21">
      <c r="A13" s="1">
        <v>11</v>
      </c>
      <c r="B13" s="1" t="s">
        <v>532</v>
      </c>
      <c r="C13" s="4">
        <v>7007500</v>
      </c>
      <c r="D13" s="4">
        <v>95</v>
      </c>
      <c r="E13" s="1" t="s">
        <v>234</v>
      </c>
      <c r="F13" s="1" t="s">
        <v>234</v>
      </c>
      <c r="G13" s="179">
        <v>7944.04</v>
      </c>
      <c r="H13" s="226">
        <v>7339.12</v>
      </c>
      <c r="I13" s="229">
        <v>6425.14</v>
      </c>
      <c r="J13" s="192">
        <v>8522.5400000000009</v>
      </c>
      <c r="K13" s="195">
        <v>5715.67</v>
      </c>
      <c r="L13" s="238">
        <v>5293.69</v>
      </c>
      <c r="M13" s="242">
        <v>5371.21</v>
      </c>
      <c r="N13" s="212">
        <v>5892.61</v>
      </c>
      <c r="O13" s="217">
        <v>7249.84</v>
      </c>
      <c r="P13" s="220">
        <v>8983.31</v>
      </c>
      <c r="Q13" s="254">
        <v>7617.35</v>
      </c>
      <c r="R13" s="172">
        <v>7741.25</v>
      </c>
      <c r="S13" s="8">
        <f t="shared" si="1"/>
        <v>84095.77</v>
      </c>
      <c r="T13" s="1">
        <f t="shared" si="2"/>
        <v>12</v>
      </c>
      <c r="U13" s="31">
        <f t="shared" si="0"/>
        <v>7007.980833333334</v>
      </c>
    </row>
    <row r="14" spans="1:21">
      <c r="A14" s="1">
        <v>12</v>
      </c>
      <c r="B14" s="1" t="s">
        <v>535</v>
      </c>
      <c r="C14" s="4">
        <v>7005300</v>
      </c>
      <c r="D14" s="4">
        <v>96</v>
      </c>
      <c r="E14" s="1" t="s">
        <v>235</v>
      </c>
      <c r="F14" s="1" t="s">
        <v>235</v>
      </c>
      <c r="G14" s="179">
        <v>18645.330000000002</v>
      </c>
      <c r="H14" s="226">
        <v>16190.26</v>
      </c>
      <c r="I14" s="229">
        <v>17437.669999999998</v>
      </c>
      <c r="J14" s="192">
        <v>22244.27</v>
      </c>
      <c r="K14" s="195">
        <v>14047.6</v>
      </c>
      <c r="L14" s="238">
        <v>7723.86</v>
      </c>
      <c r="M14" s="242">
        <v>9580.4699999999993</v>
      </c>
      <c r="N14" s="212">
        <v>10256.02</v>
      </c>
      <c r="O14" s="217">
        <v>11853.25</v>
      </c>
      <c r="P14" s="220">
        <v>20641.25</v>
      </c>
      <c r="Q14" s="254">
        <v>18622.849999999999</v>
      </c>
      <c r="R14" s="172">
        <v>16711.95</v>
      </c>
      <c r="S14" s="8">
        <f t="shared" si="1"/>
        <v>183954.78000000003</v>
      </c>
      <c r="T14" s="1">
        <f t="shared" si="2"/>
        <v>12</v>
      </c>
      <c r="U14" s="31">
        <f t="shared" si="0"/>
        <v>15329.565000000002</v>
      </c>
    </row>
    <row r="15" spans="1:21">
      <c r="A15" s="1">
        <v>13</v>
      </c>
      <c r="B15" s="1" t="s">
        <v>530</v>
      </c>
      <c r="C15" s="4">
        <v>15021222</v>
      </c>
      <c r="D15" s="4">
        <v>97</v>
      </c>
      <c r="E15" s="1" t="s">
        <v>503</v>
      </c>
      <c r="F15" s="1" t="s">
        <v>503</v>
      </c>
      <c r="G15" s="179">
        <v>16274.7</v>
      </c>
      <c r="H15" s="226">
        <v>14921.16</v>
      </c>
      <c r="I15" s="229">
        <v>14465.38</v>
      </c>
      <c r="J15" s="192">
        <v>18557.919999999998</v>
      </c>
      <c r="K15" s="195">
        <v>13409.89</v>
      </c>
      <c r="L15" s="238">
        <v>11102.71</v>
      </c>
      <c r="M15" s="242">
        <v>11976.1</v>
      </c>
      <c r="N15" s="212">
        <v>13156.81</v>
      </c>
      <c r="O15" s="217">
        <v>16349.75</v>
      </c>
      <c r="P15" s="220">
        <v>19536.8</v>
      </c>
      <c r="Q15" s="254">
        <v>17054.21</v>
      </c>
      <c r="R15" s="172">
        <v>16501.060000000001</v>
      </c>
      <c r="S15" s="8">
        <f t="shared" si="1"/>
        <v>183306.48999999996</v>
      </c>
      <c r="T15" s="1">
        <f t="shared" si="2"/>
        <v>12</v>
      </c>
      <c r="U15" s="31">
        <f t="shared" si="0"/>
        <v>15275.540833333331</v>
      </c>
    </row>
    <row r="16" spans="1:21">
      <c r="A16" s="1">
        <v>14</v>
      </c>
      <c r="C16" s="4">
        <v>15023818</v>
      </c>
      <c r="D16" s="4">
        <v>125</v>
      </c>
      <c r="E16" s="1" t="s">
        <v>501</v>
      </c>
      <c r="F16" s="1" t="s">
        <v>501</v>
      </c>
      <c r="G16" s="179">
        <v>28077</v>
      </c>
      <c r="H16" s="226">
        <v>19291</v>
      </c>
      <c r="I16" s="192">
        <v>24737.85</v>
      </c>
      <c r="J16" s="192">
        <v>7689.66</v>
      </c>
      <c r="K16" s="196"/>
      <c r="L16" s="240"/>
      <c r="M16" s="243"/>
      <c r="N16" s="211"/>
      <c r="O16" s="218"/>
      <c r="P16" s="222"/>
      <c r="Q16" s="255"/>
      <c r="R16" s="173"/>
      <c r="S16" s="8">
        <f t="shared" si="1"/>
        <v>79795.510000000009</v>
      </c>
      <c r="T16" s="1">
        <f t="shared" si="2"/>
        <v>4</v>
      </c>
      <c r="U16" s="31">
        <f t="shared" si="0"/>
        <v>19948.877500000002</v>
      </c>
    </row>
    <row r="17" spans="1:21">
      <c r="A17" s="1">
        <v>15</v>
      </c>
      <c r="B17" s="1" t="s">
        <v>537</v>
      </c>
      <c r="C17" s="4">
        <v>15026269</v>
      </c>
      <c r="D17" s="4"/>
      <c r="E17" s="1" t="s">
        <v>504</v>
      </c>
      <c r="F17" s="1" t="s">
        <v>504</v>
      </c>
      <c r="G17" s="179">
        <v>16658.72</v>
      </c>
      <c r="H17" s="226">
        <v>15245.6</v>
      </c>
      <c r="I17" s="229">
        <v>16537.93</v>
      </c>
      <c r="J17" s="192">
        <v>22301.19</v>
      </c>
      <c r="K17" s="195">
        <v>15066.77</v>
      </c>
      <c r="L17" s="238">
        <v>10801.6</v>
      </c>
      <c r="M17" s="242">
        <v>10913.11</v>
      </c>
      <c r="N17" s="212">
        <v>13372.28</v>
      </c>
      <c r="O17" s="217">
        <v>14796.76</v>
      </c>
      <c r="P17" s="220">
        <v>22482.99</v>
      </c>
      <c r="Q17" s="254">
        <v>19434.18</v>
      </c>
      <c r="R17" s="172">
        <v>17189.87</v>
      </c>
      <c r="S17" s="8">
        <f t="shared" si="1"/>
        <v>194801</v>
      </c>
      <c r="T17" s="1">
        <f t="shared" si="2"/>
        <v>12</v>
      </c>
      <c r="U17" s="31">
        <f t="shared" si="0"/>
        <v>16233.416666666666</v>
      </c>
    </row>
    <row r="18" spans="1:21">
      <c r="A18" s="1">
        <v>16</v>
      </c>
      <c r="B18" s="1" t="s">
        <v>538</v>
      </c>
      <c r="C18" s="4">
        <v>7002000</v>
      </c>
      <c r="D18" s="4"/>
      <c r="E18" s="1" t="s">
        <v>505</v>
      </c>
      <c r="F18" s="1" t="s">
        <v>505</v>
      </c>
      <c r="G18" s="179">
        <v>8310.4</v>
      </c>
      <c r="H18" s="226">
        <v>5578.98</v>
      </c>
      <c r="I18" s="229">
        <v>8270.98</v>
      </c>
      <c r="J18" s="192">
        <v>7726.8</v>
      </c>
      <c r="K18" s="195">
        <v>4676.88</v>
      </c>
      <c r="L18" s="238">
        <v>4387.41</v>
      </c>
      <c r="M18" s="242">
        <v>2313.4</v>
      </c>
      <c r="N18" s="212">
        <v>5217.68</v>
      </c>
      <c r="O18" s="217">
        <v>8358.75</v>
      </c>
      <c r="P18" s="220">
        <v>8670.58</v>
      </c>
      <c r="Q18" s="254">
        <v>5626.58</v>
      </c>
      <c r="R18" s="172">
        <v>8058.18</v>
      </c>
      <c r="S18" s="8">
        <f t="shared" si="1"/>
        <v>77196.62</v>
      </c>
      <c r="T18" s="1">
        <f t="shared" si="2"/>
        <v>12</v>
      </c>
      <c r="U18" s="31">
        <f t="shared" si="0"/>
        <v>6433.0516666666663</v>
      </c>
    </row>
    <row r="19" spans="1:21">
      <c r="A19" s="1">
        <v>17</v>
      </c>
      <c r="B19" s="1" t="s">
        <v>536</v>
      </c>
      <c r="C19" s="4">
        <v>15007853</v>
      </c>
      <c r="D19" s="4"/>
      <c r="E19" s="1" t="s">
        <v>238</v>
      </c>
      <c r="F19" s="1" t="s">
        <v>238</v>
      </c>
      <c r="G19" s="179">
        <v>3449.25</v>
      </c>
      <c r="H19" s="226">
        <v>3406.53</v>
      </c>
      <c r="I19" s="229">
        <v>3010.83</v>
      </c>
      <c r="J19" s="192">
        <v>3871.74</v>
      </c>
      <c r="K19" s="195">
        <v>2423.1999999999998</v>
      </c>
      <c r="L19" s="238">
        <v>2036.46</v>
      </c>
      <c r="M19" s="242">
        <v>2044.15</v>
      </c>
      <c r="N19" s="212">
        <v>2650.65</v>
      </c>
      <c r="O19" s="217">
        <v>2875.66</v>
      </c>
      <c r="P19" s="220">
        <v>4221.58</v>
      </c>
      <c r="Q19" s="254">
        <v>3206.39</v>
      </c>
      <c r="R19" s="172">
        <v>2946.38</v>
      </c>
      <c r="S19" s="8">
        <f t="shared" si="1"/>
        <v>36142.82</v>
      </c>
      <c r="T19" s="1">
        <f t="shared" si="2"/>
        <v>12</v>
      </c>
      <c r="U19" s="31">
        <f t="shared" si="0"/>
        <v>3011.9016666666666</v>
      </c>
    </row>
    <row r="20" spans="1:21">
      <c r="A20" s="1">
        <v>18</v>
      </c>
      <c r="B20" s="1" t="s">
        <v>539</v>
      </c>
      <c r="C20" s="4">
        <v>7000700</v>
      </c>
      <c r="D20" s="4">
        <v>99</v>
      </c>
      <c r="E20" s="1" t="s">
        <v>239</v>
      </c>
      <c r="F20" s="1" t="s">
        <v>239</v>
      </c>
      <c r="G20" s="179">
        <v>630</v>
      </c>
      <c r="H20" s="226">
        <v>615</v>
      </c>
      <c r="I20" s="229">
        <v>633</v>
      </c>
      <c r="J20" s="192">
        <v>648</v>
      </c>
      <c r="K20" s="195">
        <v>630</v>
      </c>
      <c r="L20" s="238">
        <v>591</v>
      </c>
      <c r="M20" s="242">
        <v>570</v>
      </c>
      <c r="N20" s="212">
        <v>555</v>
      </c>
      <c r="O20" s="217">
        <v>576</v>
      </c>
      <c r="P20" s="220">
        <v>585</v>
      </c>
      <c r="Q20" s="254">
        <v>588</v>
      </c>
      <c r="R20" s="172">
        <v>597</v>
      </c>
      <c r="S20" s="8">
        <f t="shared" si="1"/>
        <v>7218</v>
      </c>
      <c r="T20" s="1">
        <f t="shared" si="2"/>
        <v>12</v>
      </c>
      <c r="U20" s="31">
        <f t="shared" si="0"/>
        <v>601.5</v>
      </c>
    </row>
    <row r="21" spans="1:21">
      <c r="A21" s="1">
        <v>19</v>
      </c>
      <c r="B21" s="1" t="s">
        <v>536</v>
      </c>
      <c r="C21" s="4">
        <v>15010839</v>
      </c>
      <c r="D21" s="4"/>
      <c r="E21" s="1" t="s">
        <v>300</v>
      </c>
      <c r="F21" s="1" t="s">
        <v>300</v>
      </c>
      <c r="G21" s="179">
        <v>12624.32</v>
      </c>
      <c r="H21" s="226">
        <v>9433.4699999999993</v>
      </c>
      <c r="I21" s="229">
        <v>9946.5400000000009</v>
      </c>
      <c r="J21" s="192">
        <v>12974.13</v>
      </c>
      <c r="K21" s="195">
        <v>6605.73</v>
      </c>
      <c r="L21" s="238">
        <v>4693.75</v>
      </c>
      <c r="M21" s="242">
        <v>4465.8900000000003</v>
      </c>
      <c r="N21" s="212">
        <v>5343.06</v>
      </c>
      <c r="O21" s="217">
        <v>9723.17</v>
      </c>
      <c r="P21" s="220">
        <v>12791.48</v>
      </c>
      <c r="Q21" s="254">
        <v>12393.07</v>
      </c>
      <c r="R21" s="172">
        <v>12044.41</v>
      </c>
      <c r="S21" s="8">
        <f t="shared" si="1"/>
        <v>113039.01999999999</v>
      </c>
      <c r="T21" s="1">
        <f t="shared" si="2"/>
        <v>12</v>
      </c>
      <c r="U21" s="31">
        <f t="shared" si="0"/>
        <v>9419.9183333333331</v>
      </c>
    </row>
    <row r="22" spans="1:21">
      <c r="A22" s="1">
        <v>20</v>
      </c>
      <c r="B22" s="1" t="s">
        <v>533</v>
      </c>
      <c r="C22" s="4">
        <v>15005502</v>
      </c>
      <c r="D22" s="4">
        <v>137</v>
      </c>
      <c r="E22" s="1" t="s">
        <v>506</v>
      </c>
      <c r="F22" s="1" t="s">
        <v>506</v>
      </c>
      <c r="G22" s="179">
        <v>25340.46</v>
      </c>
      <c r="H22" s="226">
        <v>25855.919999999998</v>
      </c>
      <c r="I22" s="229">
        <v>22072.080000000002</v>
      </c>
      <c r="J22" s="192">
        <v>30027.360000000001</v>
      </c>
      <c r="K22" s="195">
        <v>22882.18</v>
      </c>
      <c r="L22" s="238">
        <v>17336.52</v>
      </c>
      <c r="M22" s="242">
        <v>16530.72</v>
      </c>
      <c r="N22" s="212">
        <v>21121.86</v>
      </c>
      <c r="O22" s="217">
        <v>22961.58</v>
      </c>
      <c r="P22" s="220">
        <v>32133.599999999999</v>
      </c>
      <c r="Q22" s="254">
        <v>27722.04</v>
      </c>
      <c r="R22" s="172">
        <v>24994.080000000002</v>
      </c>
      <c r="S22" s="8">
        <f t="shared" si="1"/>
        <v>288978.40000000002</v>
      </c>
      <c r="T22" s="1">
        <f t="shared" si="2"/>
        <v>12</v>
      </c>
      <c r="U22" s="31">
        <f t="shared" si="0"/>
        <v>24081.533333333336</v>
      </c>
    </row>
    <row r="23" spans="1:21">
      <c r="A23" s="1">
        <v>21</v>
      </c>
      <c r="B23" s="1" t="s">
        <v>536</v>
      </c>
      <c r="C23" s="4">
        <v>7000800</v>
      </c>
      <c r="D23" s="4">
        <v>100</v>
      </c>
      <c r="E23" s="1" t="s">
        <v>241</v>
      </c>
      <c r="F23" s="1" t="s">
        <v>241</v>
      </c>
      <c r="G23" s="179">
        <v>3227.9</v>
      </c>
      <c r="H23" s="226">
        <v>3107.37</v>
      </c>
      <c r="I23" s="229">
        <v>2826.19</v>
      </c>
      <c r="J23" s="192">
        <v>3223.01</v>
      </c>
      <c r="K23" s="195">
        <v>2361.59</v>
      </c>
      <c r="L23" s="238">
        <v>1944.6</v>
      </c>
      <c r="M23" s="242">
        <v>2053.56</v>
      </c>
      <c r="N23" s="212">
        <v>2364.8200000000002</v>
      </c>
      <c r="O23" s="220">
        <v>3015.88</v>
      </c>
      <c r="P23" s="220">
        <v>3214.65</v>
      </c>
      <c r="Q23" s="254">
        <v>3542.57</v>
      </c>
      <c r="R23" s="172">
        <v>3288.35</v>
      </c>
      <c r="S23" s="8">
        <f t="shared" si="1"/>
        <v>34170.490000000005</v>
      </c>
      <c r="T23" s="1">
        <f t="shared" si="2"/>
        <v>12</v>
      </c>
      <c r="U23" s="31">
        <f t="shared" si="0"/>
        <v>2847.5408333333339</v>
      </c>
    </row>
    <row r="24" spans="1:21">
      <c r="A24" s="1">
        <v>79</v>
      </c>
      <c r="C24" s="4">
        <v>15033786</v>
      </c>
      <c r="D24" s="4"/>
      <c r="E24" s="1" t="s">
        <v>563</v>
      </c>
      <c r="G24" s="180"/>
      <c r="H24" s="228"/>
      <c r="I24" s="233"/>
      <c r="J24" s="193"/>
      <c r="K24" s="196"/>
      <c r="L24" s="240"/>
      <c r="M24" s="243"/>
      <c r="N24" s="211"/>
      <c r="O24" s="218"/>
      <c r="P24" s="181">
        <v>1323.36</v>
      </c>
      <c r="Q24" s="181">
        <v>867.96</v>
      </c>
      <c r="R24" s="181">
        <v>766.5</v>
      </c>
      <c r="S24" s="8">
        <f t="shared" si="1"/>
        <v>2957.8199999999997</v>
      </c>
      <c r="T24" s="1">
        <f t="shared" si="2"/>
        <v>3</v>
      </c>
      <c r="U24" s="31">
        <f t="shared" si="0"/>
        <v>985.93999999999994</v>
      </c>
    </row>
    <row r="25" spans="1:21">
      <c r="A25" s="1">
        <v>22</v>
      </c>
      <c r="B25" s="1" t="s">
        <v>540</v>
      </c>
      <c r="C25" s="42">
        <v>7008100</v>
      </c>
      <c r="D25" s="42">
        <v>140</v>
      </c>
      <c r="E25" s="11" t="s">
        <v>384</v>
      </c>
      <c r="F25" s="11" t="s">
        <v>384</v>
      </c>
      <c r="G25" s="179">
        <v>33925.43</v>
      </c>
      <c r="H25" s="226">
        <v>36104.980000000003</v>
      </c>
      <c r="I25" s="229">
        <v>39192.85</v>
      </c>
      <c r="J25" s="192">
        <v>47054.16</v>
      </c>
      <c r="K25" s="195">
        <v>38027.46</v>
      </c>
      <c r="L25" s="238">
        <v>19246.759999999998</v>
      </c>
      <c r="M25" s="242">
        <v>18905.54</v>
      </c>
      <c r="N25" s="212">
        <v>23461.03</v>
      </c>
      <c r="O25" s="217">
        <v>39176.120000000003</v>
      </c>
      <c r="P25" s="220">
        <v>43843.71</v>
      </c>
      <c r="Q25" s="254">
        <v>37739.93</v>
      </c>
      <c r="R25" s="172">
        <v>39102.9</v>
      </c>
      <c r="S25" s="8">
        <f t="shared" si="1"/>
        <v>415780.87000000005</v>
      </c>
      <c r="T25" s="1">
        <f t="shared" si="2"/>
        <v>12</v>
      </c>
      <c r="U25" s="31">
        <f t="shared" si="0"/>
        <v>34648.405833333338</v>
      </c>
    </row>
    <row r="26" spans="1:21">
      <c r="A26" s="1">
        <v>23</v>
      </c>
      <c r="B26" s="1" t="s">
        <v>541</v>
      </c>
      <c r="C26" s="4">
        <v>7007200</v>
      </c>
      <c r="D26" s="4">
        <v>102</v>
      </c>
      <c r="E26" s="1" t="s">
        <v>242</v>
      </c>
      <c r="F26" s="1" t="s">
        <v>242</v>
      </c>
      <c r="G26" s="179">
        <v>6312.11</v>
      </c>
      <c r="H26" s="226">
        <v>4693.0200000000004</v>
      </c>
      <c r="I26" s="229">
        <v>7109.23</v>
      </c>
      <c r="J26" s="192">
        <v>7024.58</v>
      </c>
      <c r="K26" s="195">
        <v>4872.55</v>
      </c>
      <c r="L26" s="238">
        <v>3380.28</v>
      </c>
      <c r="M26" s="242">
        <v>4202.38</v>
      </c>
      <c r="N26" s="212">
        <v>4627.87</v>
      </c>
      <c r="O26" s="217">
        <v>5126.6899999999996</v>
      </c>
      <c r="P26" s="220">
        <v>7193.85</v>
      </c>
      <c r="Q26" s="254">
        <v>5124.01</v>
      </c>
      <c r="R26" s="172">
        <v>4781.1099999999997</v>
      </c>
      <c r="S26" s="8">
        <f t="shared" si="1"/>
        <v>64447.680000000008</v>
      </c>
      <c r="T26" s="1">
        <f t="shared" si="2"/>
        <v>12</v>
      </c>
      <c r="U26" s="31">
        <f t="shared" si="0"/>
        <v>5370.64</v>
      </c>
    </row>
    <row r="27" spans="1:21">
      <c r="A27" s="1">
        <v>24</v>
      </c>
      <c r="B27" s="1" t="s">
        <v>540</v>
      </c>
      <c r="C27" s="4">
        <v>15006827</v>
      </c>
      <c r="D27" s="4">
        <v>4124</v>
      </c>
      <c r="E27" s="1" t="s">
        <v>344</v>
      </c>
      <c r="F27" s="1" t="s">
        <v>344</v>
      </c>
      <c r="G27" s="179">
        <v>18838.919999999998</v>
      </c>
      <c r="H27" s="226">
        <v>17387.939999999999</v>
      </c>
      <c r="I27" s="229">
        <v>15300.96</v>
      </c>
      <c r="J27" s="192">
        <v>19762.02</v>
      </c>
      <c r="K27" s="195">
        <v>12212.88</v>
      </c>
      <c r="L27" s="238">
        <v>7825.38</v>
      </c>
      <c r="M27" s="242">
        <v>7865.34</v>
      </c>
      <c r="N27" s="212">
        <v>10711.26</v>
      </c>
      <c r="O27" s="217">
        <v>14804.58</v>
      </c>
      <c r="P27" s="220">
        <v>20316.48</v>
      </c>
      <c r="Q27" s="254">
        <v>17019.72</v>
      </c>
      <c r="R27" s="172">
        <v>16855.98</v>
      </c>
      <c r="S27" s="8">
        <f t="shared" si="1"/>
        <v>178901.46000000002</v>
      </c>
      <c r="T27" s="1">
        <f t="shared" si="2"/>
        <v>12</v>
      </c>
      <c r="U27" s="31">
        <f t="shared" si="0"/>
        <v>14908.455000000002</v>
      </c>
    </row>
    <row r="28" spans="1:21">
      <c r="A28" s="1">
        <v>25</v>
      </c>
      <c r="B28" s="1" t="s">
        <v>540</v>
      </c>
      <c r="C28" s="4">
        <v>15031377</v>
      </c>
      <c r="D28" s="4"/>
      <c r="E28" s="1" t="s">
        <v>497</v>
      </c>
      <c r="F28" s="1" t="s">
        <v>497</v>
      </c>
      <c r="G28" s="179">
        <v>12304.99</v>
      </c>
      <c r="H28" s="228"/>
      <c r="I28" s="233"/>
      <c r="J28" s="193"/>
      <c r="K28" s="196"/>
      <c r="L28" s="240"/>
      <c r="M28" s="243"/>
      <c r="N28" s="211"/>
      <c r="O28" s="218"/>
      <c r="P28" s="222"/>
      <c r="Q28" s="255"/>
      <c r="R28" s="173"/>
      <c r="S28" s="8">
        <f t="shared" si="1"/>
        <v>12304.99</v>
      </c>
      <c r="T28" s="1">
        <f t="shared" si="2"/>
        <v>1</v>
      </c>
      <c r="U28" s="31">
        <f t="shared" si="0"/>
        <v>12304.99</v>
      </c>
    </row>
    <row r="29" spans="1:21">
      <c r="A29" s="1">
        <v>26</v>
      </c>
      <c r="B29" s="1" t="s">
        <v>531</v>
      </c>
      <c r="C29" s="4">
        <v>15004535</v>
      </c>
      <c r="D29" s="4">
        <v>124</v>
      </c>
      <c r="E29" s="1" t="s">
        <v>112</v>
      </c>
      <c r="F29" s="1" t="s">
        <v>112</v>
      </c>
      <c r="G29" s="179">
        <v>2472.09</v>
      </c>
      <c r="H29" s="226">
        <v>3074.86</v>
      </c>
      <c r="I29" s="192">
        <v>2822.86</v>
      </c>
      <c r="J29" s="192">
        <v>2772.17</v>
      </c>
      <c r="K29" s="195">
        <v>2429.69</v>
      </c>
      <c r="L29" s="238">
        <v>1873.15</v>
      </c>
      <c r="M29" s="242">
        <v>1740.7</v>
      </c>
      <c r="N29" s="212">
        <v>1386.4</v>
      </c>
      <c r="O29" s="217">
        <v>1992.48</v>
      </c>
      <c r="P29" s="220">
        <v>2352.42</v>
      </c>
      <c r="Q29" s="254">
        <v>3552.93</v>
      </c>
      <c r="R29" s="172">
        <v>2172.84</v>
      </c>
      <c r="S29" s="8">
        <f t="shared" si="1"/>
        <v>28642.59</v>
      </c>
      <c r="T29" s="1">
        <f t="shared" si="2"/>
        <v>12</v>
      </c>
      <c r="U29" s="31">
        <f t="shared" si="0"/>
        <v>2386.8825000000002</v>
      </c>
    </row>
    <row r="30" spans="1:21">
      <c r="A30" s="1">
        <v>27</v>
      </c>
      <c r="B30" s="1" t="s">
        <v>537</v>
      </c>
      <c r="C30" s="4">
        <v>7006300</v>
      </c>
      <c r="D30" s="4"/>
      <c r="E30" s="1" t="s">
        <v>261</v>
      </c>
      <c r="F30" s="1" t="s">
        <v>261</v>
      </c>
      <c r="G30" s="179">
        <v>9914.6299999999992</v>
      </c>
      <c r="H30" s="226">
        <v>10283.11</v>
      </c>
      <c r="I30" s="229">
        <v>9155.59</v>
      </c>
      <c r="J30" s="192">
        <v>13589.21</v>
      </c>
      <c r="K30" s="195">
        <v>9258.0400000000009</v>
      </c>
      <c r="L30" s="238">
        <v>6829.4</v>
      </c>
      <c r="M30" s="242">
        <v>8184.59</v>
      </c>
      <c r="N30" s="212">
        <v>8425.49</v>
      </c>
      <c r="O30" s="217">
        <v>10260.67</v>
      </c>
      <c r="P30" s="220">
        <v>14263.05</v>
      </c>
      <c r="Q30" s="254">
        <v>12014.62</v>
      </c>
      <c r="R30" s="172">
        <v>10797.46</v>
      </c>
      <c r="S30" s="8">
        <f t="shared" si="1"/>
        <v>122975.85999999999</v>
      </c>
      <c r="T30" s="1">
        <f t="shared" si="2"/>
        <v>12</v>
      </c>
      <c r="U30" s="31">
        <f t="shared" si="0"/>
        <v>10247.988333333333</v>
      </c>
    </row>
    <row r="31" spans="1:21">
      <c r="A31" s="1">
        <v>28</v>
      </c>
      <c r="B31" s="1" t="s">
        <v>532</v>
      </c>
      <c r="C31" s="4">
        <v>15007588</v>
      </c>
      <c r="D31" s="4"/>
      <c r="E31" s="1" t="s">
        <v>512</v>
      </c>
      <c r="F31" s="1" t="s">
        <v>512</v>
      </c>
      <c r="G31" s="179">
        <v>19789.61</v>
      </c>
      <c r="H31" s="226">
        <v>17609.02</v>
      </c>
      <c r="I31" s="229">
        <v>16258.96</v>
      </c>
      <c r="J31" s="192">
        <v>23957.47</v>
      </c>
      <c r="K31" s="195">
        <v>15848.87</v>
      </c>
      <c r="L31" s="238">
        <v>13390.87</v>
      </c>
      <c r="M31" s="242">
        <v>13418.67</v>
      </c>
      <c r="N31" s="217">
        <v>12870.12</v>
      </c>
      <c r="O31" s="217">
        <v>18575.95</v>
      </c>
      <c r="P31" s="220">
        <v>24095.73</v>
      </c>
      <c r="Q31" s="254">
        <v>19662.71</v>
      </c>
      <c r="R31" s="172">
        <v>20000.759999999998</v>
      </c>
      <c r="S31" s="8">
        <f t="shared" si="1"/>
        <v>215478.74000000002</v>
      </c>
      <c r="T31" s="1">
        <f t="shared" si="2"/>
        <v>12</v>
      </c>
      <c r="U31" s="31">
        <f t="shared" si="0"/>
        <v>17956.561666666668</v>
      </c>
    </row>
    <row r="32" spans="1:21">
      <c r="A32" s="1">
        <v>29</v>
      </c>
      <c r="B32" s="1" t="s">
        <v>531</v>
      </c>
      <c r="C32" s="4">
        <v>7003500</v>
      </c>
      <c r="D32" s="4">
        <v>136</v>
      </c>
      <c r="E32" s="1" t="s">
        <v>350</v>
      </c>
      <c r="F32" s="1" t="s">
        <v>350</v>
      </c>
      <c r="G32" s="179">
        <v>54543</v>
      </c>
      <c r="H32" s="226">
        <v>56453.64</v>
      </c>
      <c r="I32" s="229">
        <v>59676.6</v>
      </c>
      <c r="J32" s="192">
        <v>75794.100000000006</v>
      </c>
      <c r="K32" s="195">
        <v>53246.22</v>
      </c>
      <c r="L32" s="238">
        <v>34713.42</v>
      </c>
      <c r="M32" s="242">
        <v>38385.9</v>
      </c>
      <c r="N32" s="212">
        <v>51019.98</v>
      </c>
      <c r="O32" s="217">
        <v>56507.58</v>
      </c>
      <c r="P32" s="220">
        <v>77501.279999999999</v>
      </c>
      <c r="Q32" s="254">
        <v>67849.679999999993</v>
      </c>
      <c r="R32" s="172">
        <v>52903.92</v>
      </c>
      <c r="S32" s="8">
        <f t="shared" si="1"/>
        <v>678595.32</v>
      </c>
      <c r="T32" s="1">
        <f t="shared" si="2"/>
        <v>12</v>
      </c>
      <c r="U32" s="31">
        <f t="shared" si="0"/>
        <v>56549.609999999993</v>
      </c>
    </row>
    <row r="33" spans="1:21">
      <c r="A33" s="1">
        <v>30</v>
      </c>
      <c r="B33" s="1" t="s">
        <v>530</v>
      </c>
      <c r="C33" s="4">
        <v>15031776</v>
      </c>
      <c r="D33" s="4">
        <v>129</v>
      </c>
      <c r="E33" s="1" t="s">
        <v>247</v>
      </c>
      <c r="F33" s="1" t="s">
        <v>247</v>
      </c>
      <c r="G33" s="179">
        <v>14094.12</v>
      </c>
      <c r="H33" s="226">
        <v>13765.02</v>
      </c>
      <c r="I33" s="229">
        <v>13500.44</v>
      </c>
      <c r="J33" s="192">
        <v>4875.1899999999996</v>
      </c>
      <c r="K33" s="196"/>
      <c r="L33" s="240"/>
      <c r="M33" s="243"/>
      <c r="N33" s="211"/>
      <c r="O33" s="218"/>
      <c r="P33" s="222"/>
      <c r="Q33" s="255"/>
      <c r="R33" s="173"/>
      <c r="S33" s="8">
        <f t="shared" si="1"/>
        <v>46234.770000000004</v>
      </c>
      <c r="T33" s="1">
        <f t="shared" si="2"/>
        <v>4</v>
      </c>
      <c r="U33" s="31">
        <f t="shared" si="0"/>
        <v>11558.692500000001</v>
      </c>
    </row>
    <row r="34" spans="1:21">
      <c r="B34" s="1" t="s">
        <v>530</v>
      </c>
      <c r="C34" s="4">
        <v>15031776</v>
      </c>
      <c r="D34" s="4"/>
      <c r="E34" s="1" t="s">
        <v>517</v>
      </c>
      <c r="F34" s="1" t="s">
        <v>517</v>
      </c>
      <c r="G34" s="180"/>
      <c r="H34" s="228"/>
      <c r="I34" s="233"/>
      <c r="J34" s="192">
        <v>12267.71</v>
      </c>
      <c r="K34" s="195">
        <f>10055.53+12267.71</f>
        <v>22323.239999999998</v>
      </c>
      <c r="L34" s="238">
        <v>9373.84</v>
      </c>
      <c r="M34" s="242">
        <v>8326.1299999999992</v>
      </c>
      <c r="N34" s="212">
        <v>9809.86</v>
      </c>
      <c r="O34" s="217">
        <v>14256.47</v>
      </c>
      <c r="P34" s="220">
        <v>18836.11</v>
      </c>
      <c r="Q34" s="254">
        <v>17176.5</v>
      </c>
      <c r="R34" s="172">
        <f>15720.37-12267.71</f>
        <v>3452.6600000000017</v>
      </c>
      <c r="S34" s="8"/>
      <c r="U34" s="31"/>
    </row>
    <row r="35" spans="1:21">
      <c r="A35" s="1">
        <v>31</v>
      </c>
      <c r="B35" s="1" t="s">
        <v>541</v>
      </c>
      <c r="C35" s="4">
        <v>7001700</v>
      </c>
      <c r="D35" s="4">
        <v>130</v>
      </c>
      <c r="E35" s="1" t="s">
        <v>248</v>
      </c>
      <c r="F35" s="1" t="s">
        <v>248</v>
      </c>
      <c r="G35" s="179">
        <v>31271.94</v>
      </c>
      <c r="H35" s="226">
        <v>31358.94</v>
      </c>
      <c r="I35" s="229">
        <v>29535.66</v>
      </c>
      <c r="J35" s="192">
        <v>35154.54</v>
      </c>
      <c r="K35" s="195">
        <v>26596.98</v>
      </c>
      <c r="L35" s="238">
        <v>20164.38</v>
      </c>
      <c r="M35" s="242">
        <v>20586</v>
      </c>
      <c r="N35" s="212">
        <v>22719.360000000001</v>
      </c>
      <c r="O35" s="217">
        <v>25745.279999999999</v>
      </c>
      <c r="P35" s="220">
        <v>35323.019999999997</v>
      </c>
      <c r="Q35" s="254">
        <v>31938.12</v>
      </c>
      <c r="R35" s="172">
        <v>29258.82</v>
      </c>
      <c r="S35" s="8">
        <f t="shared" ref="S35:S47" si="3">+SUM(G35:R35)</f>
        <v>339653.04</v>
      </c>
      <c r="T35" s="1">
        <f t="shared" ref="T35:T79" si="4">COUNT(G35:R35)</f>
        <v>12</v>
      </c>
      <c r="U35" s="31">
        <f t="shared" si="0"/>
        <v>28304.42</v>
      </c>
    </row>
    <row r="36" spans="1:21">
      <c r="A36" s="1">
        <v>32</v>
      </c>
      <c r="B36" s="1" t="s">
        <v>542</v>
      </c>
      <c r="C36" s="4">
        <v>15006999</v>
      </c>
      <c r="D36" s="4"/>
      <c r="E36" s="1" t="s">
        <v>527</v>
      </c>
      <c r="F36" s="1" t="s">
        <v>507</v>
      </c>
      <c r="G36" s="179">
        <v>13633.03</v>
      </c>
      <c r="H36" s="226">
        <v>13296.98</v>
      </c>
      <c r="I36" s="229">
        <v>13184.77</v>
      </c>
      <c r="J36" s="192">
        <v>16128.83</v>
      </c>
      <c r="K36" s="195">
        <v>12398.6</v>
      </c>
      <c r="L36" s="238">
        <v>9329.89</v>
      </c>
      <c r="M36" s="242">
        <v>11027.22</v>
      </c>
      <c r="N36" s="212">
        <v>11802.13</v>
      </c>
      <c r="O36" s="217">
        <v>13596.12</v>
      </c>
      <c r="P36" s="220">
        <f>13596.12+1886.89</f>
        <v>15483.01</v>
      </c>
      <c r="Q36" s="254">
        <v>14347.36</v>
      </c>
      <c r="R36" s="172">
        <v>13234.65</v>
      </c>
      <c r="S36" s="8">
        <f t="shared" si="3"/>
        <v>157462.59</v>
      </c>
      <c r="T36" s="1">
        <f t="shared" si="4"/>
        <v>12</v>
      </c>
      <c r="U36" s="31">
        <f t="shared" si="0"/>
        <v>13121.8825</v>
      </c>
    </row>
    <row r="37" spans="1:21">
      <c r="A37" s="1">
        <v>33</v>
      </c>
      <c r="B37" s="1" t="s">
        <v>543</v>
      </c>
      <c r="C37" s="4">
        <v>7009500</v>
      </c>
      <c r="D37" s="4"/>
      <c r="E37" s="1" t="s">
        <v>515</v>
      </c>
      <c r="F37" s="1" t="s">
        <v>515</v>
      </c>
      <c r="G37" s="179">
        <v>15641.39</v>
      </c>
      <c r="H37" s="226">
        <v>14479.9</v>
      </c>
      <c r="I37" s="229">
        <v>13260.15</v>
      </c>
      <c r="J37" s="192">
        <v>18186.79</v>
      </c>
      <c r="K37" s="195">
        <v>13680.98</v>
      </c>
      <c r="L37" s="238">
        <v>10637.73</v>
      </c>
      <c r="M37" s="242">
        <v>11444.71</v>
      </c>
      <c r="N37" s="212">
        <v>12085.33</v>
      </c>
      <c r="O37" s="217">
        <v>14716.49</v>
      </c>
      <c r="P37" s="220">
        <v>20630.93</v>
      </c>
      <c r="Q37" s="254">
        <v>17557.29</v>
      </c>
      <c r="R37" s="172">
        <v>16448.93</v>
      </c>
      <c r="S37" s="8">
        <f t="shared" si="3"/>
        <v>178770.62</v>
      </c>
      <c r="T37" s="1">
        <f t="shared" si="4"/>
        <v>12</v>
      </c>
      <c r="U37" s="31">
        <f t="shared" si="0"/>
        <v>14897.551666666666</v>
      </c>
    </row>
    <row r="38" spans="1:21">
      <c r="A38" s="1">
        <v>34</v>
      </c>
      <c r="B38" s="1" t="s">
        <v>541</v>
      </c>
      <c r="C38" s="4">
        <v>7009200</v>
      </c>
      <c r="D38" s="4">
        <v>569</v>
      </c>
      <c r="E38" s="1" t="s">
        <v>516</v>
      </c>
      <c r="F38" s="1" t="s">
        <v>516</v>
      </c>
      <c r="G38" s="230">
        <v>15104.48</v>
      </c>
      <c r="H38" s="192">
        <v>14034.7</v>
      </c>
      <c r="I38" s="192">
        <v>14259.74</v>
      </c>
      <c r="J38" s="252">
        <f>5000+6192.76</f>
        <v>11192.76</v>
      </c>
      <c r="K38" s="254">
        <f>5000+11628.64</f>
        <v>16628.64</v>
      </c>
      <c r="L38" s="181">
        <v>9227.7199999999993</v>
      </c>
      <c r="M38" s="181">
        <v>5211.9799999999996</v>
      </c>
      <c r="N38" s="181">
        <v>5211.97</v>
      </c>
      <c r="O38" s="181">
        <v>11969.58</v>
      </c>
      <c r="P38" s="220">
        <v>17081.84</v>
      </c>
      <c r="Q38" s="181">
        <v>5211.9799999999996</v>
      </c>
      <c r="R38" s="172">
        <v>13610.22</v>
      </c>
      <c r="S38" s="8">
        <f t="shared" si="3"/>
        <v>138745.60999999999</v>
      </c>
      <c r="T38" s="1">
        <f t="shared" si="4"/>
        <v>12</v>
      </c>
      <c r="U38" s="31">
        <f t="shared" si="0"/>
        <v>11562.134166666665</v>
      </c>
    </row>
    <row r="39" spans="1:21">
      <c r="A39" s="1">
        <v>35</v>
      </c>
      <c r="B39" s="1" t="s">
        <v>530</v>
      </c>
      <c r="C39" s="4">
        <v>7009900</v>
      </c>
      <c r="D39" s="4">
        <v>3583</v>
      </c>
      <c r="E39" s="1" t="s">
        <v>105</v>
      </c>
      <c r="F39" s="1" t="s">
        <v>105</v>
      </c>
      <c r="G39" s="179">
        <v>15584.91</v>
      </c>
      <c r="H39" s="226">
        <v>14214.47</v>
      </c>
      <c r="I39" s="229">
        <v>12540.59</v>
      </c>
      <c r="J39" s="192">
        <v>17041.560000000001</v>
      </c>
      <c r="K39" s="195">
        <v>11304.15</v>
      </c>
      <c r="L39" s="238">
        <v>8952.84</v>
      </c>
      <c r="M39" s="242">
        <v>9651.8700000000008</v>
      </c>
      <c r="N39" s="212">
        <v>11840.99</v>
      </c>
      <c r="O39" s="217">
        <v>12578.25</v>
      </c>
      <c r="P39" s="220">
        <v>17911.45</v>
      </c>
      <c r="Q39" s="254">
        <v>14661.32</v>
      </c>
      <c r="R39" s="172">
        <v>15538.51</v>
      </c>
      <c r="S39" s="8">
        <f t="shared" si="3"/>
        <v>161820.91</v>
      </c>
      <c r="T39" s="1">
        <f t="shared" si="4"/>
        <v>12</v>
      </c>
      <c r="U39" s="31">
        <f t="shared" si="0"/>
        <v>13485.075833333334</v>
      </c>
    </row>
    <row r="40" spans="1:21">
      <c r="A40" s="1">
        <v>36</v>
      </c>
      <c r="B40" s="1" t="s">
        <v>532</v>
      </c>
      <c r="C40" s="4">
        <v>15030829</v>
      </c>
      <c r="D40" s="4"/>
      <c r="E40" s="1" t="s">
        <v>484</v>
      </c>
      <c r="F40" s="1" t="s">
        <v>529</v>
      </c>
      <c r="G40" s="179">
        <v>6642.57</v>
      </c>
      <c r="H40" s="226">
        <v>5724.58</v>
      </c>
      <c r="I40" s="229">
        <v>5111.4799999999996</v>
      </c>
      <c r="J40" s="192">
        <v>6823.78</v>
      </c>
      <c r="K40" s="238">
        <v>4510.17</v>
      </c>
      <c r="L40" s="238">
        <v>3242.34</v>
      </c>
      <c r="M40" s="242">
        <v>3763.95</v>
      </c>
      <c r="N40" s="212">
        <v>4356.01</v>
      </c>
      <c r="O40" s="217">
        <v>4693.5</v>
      </c>
      <c r="P40" s="220">
        <v>6731.46</v>
      </c>
      <c r="Q40" s="254">
        <v>6446.9</v>
      </c>
      <c r="R40" s="172">
        <v>6606.2</v>
      </c>
      <c r="S40" s="8">
        <f t="shared" si="3"/>
        <v>64652.939999999995</v>
      </c>
      <c r="T40" s="1">
        <f t="shared" si="4"/>
        <v>12</v>
      </c>
      <c r="U40" s="31">
        <f t="shared" si="0"/>
        <v>5387.7449999999999</v>
      </c>
    </row>
    <row r="41" spans="1:21">
      <c r="A41" s="1">
        <v>37</v>
      </c>
      <c r="B41" s="1" t="s">
        <v>531</v>
      </c>
      <c r="C41" s="4">
        <v>7002100</v>
      </c>
      <c r="D41" s="4">
        <v>645</v>
      </c>
      <c r="E41" s="1" t="s">
        <v>253</v>
      </c>
      <c r="F41" s="1" t="s">
        <v>253</v>
      </c>
      <c r="G41" s="179">
        <v>49161.48</v>
      </c>
      <c r="H41" s="226">
        <v>51733.32</v>
      </c>
      <c r="I41" s="229">
        <v>51412.02</v>
      </c>
      <c r="J41" s="192">
        <v>70636.2</v>
      </c>
      <c r="K41" s="195">
        <v>55912.98</v>
      </c>
      <c r="L41" s="238">
        <v>39447.18</v>
      </c>
      <c r="M41" s="242">
        <v>43535.94</v>
      </c>
      <c r="N41" s="212">
        <v>46900.38</v>
      </c>
      <c r="O41" s="217">
        <v>52975.56</v>
      </c>
      <c r="P41" s="220">
        <v>82851.48</v>
      </c>
      <c r="Q41" s="254">
        <v>61788.78</v>
      </c>
      <c r="R41" s="172">
        <v>50989.86</v>
      </c>
      <c r="S41" s="8">
        <f t="shared" si="3"/>
        <v>657345.18000000005</v>
      </c>
      <c r="T41" s="1">
        <f t="shared" si="4"/>
        <v>12</v>
      </c>
      <c r="U41" s="31">
        <f t="shared" si="0"/>
        <v>54778.765000000007</v>
      </c>
    </row>
    <row r="42" spans="1:21">
      <c r="A42" s="1">
        <v>38</v>
      </c>
      <c r="B42" s="1" t="s">
        <v>543</v>
      </c>
      <c r="C42" s="4">
        <v>15020999</v>
      </c>
      <c r="D42" s="4">
        <v>132</v>
      </c>
      <c r="E42" s="1" t="s">
        <v>528</v>
      </c>
      <c r="F42" s="1" t="s">
        <v>498</v>
      </c>
      <c r="G42" s="230">
        <v>3496.3</v>
      </c>
      <c r="H42" s="229">
        <v>3697.74</v>
      </c>
      <c r="I42" s="229">
        <v>4778.83</v>
      </c>
      <c r="J42" s="192">
        <v>4322.8100000000004</v>
      </c>
      <c r="K42" s="195">
        <v>2770.49</v>
      </c>
      <c r="L42" s="238">
        <v>1734.87</v>
      </c>
      <c r="M42" s="242">
        <v>978.97</v>
      </c>
      <c r="N42" s="212">
        <v>1152.25</v>
      </c>
      <c r="O42" s="217">
        <v>1584.46</v>
      </c>
      <c r="P42" s="220">
        <v>1994.76</v>
      </c>
      <c r="Q42" s="254">
        <v>1452.09</v>
      </c>
      <c r="R42" s="172">
        <v>1452.15</v>
      </c>
      <c r="S42" s="8">
        <f t="shared" si="3"/>
        <v>29415.719999999998</v>
      </c>
      <c r="T42" s="1">
        <f t="shared" si="4"/>
        <v>12</v>
      </c>
      <c r="U42" s="31">
        <f t="shared" si="0"/>
        <v>2451.31</v>
      </c>
    </row>
    <row r="43" spans="1:21">
      <c r="A43" s="1">
        <v>39</v>
      </c>
      <c r="B43" s="1" t="s">
        <v>540</v>
      </c>
      <c r="C43" s="4">
        <v>7002501</v>
      </c>
      <c r="D43" s="4"/>
      <c r="E43" s="1" t="s">
        <v>508</v>
      </c>
      <c r="F43" s="1" t="s">
        <v>508</v>
      </c>
      <c r="G43" s="179">
        <v>3533</v>
      </c>
      <c r="H43" s="226">
        <v>3542</v>
      </c>
      <c r="I43" s="229">
        <v>3282</v>
      </c>
      <c r="J43" s="192">
        <v>3507</v>
      </c>
      <c r="K43" s="195">
        <v>2239.5</v>
      </c>
      <c r="L43" s="238">
        <v>1828</v>
      </c>
      <c r="M43" s="242">
        <v>1814</v>
      </c>
      <c r="N43" s="212">
        <v>1871</v>
      </c>
      <c r="O43" s="217">
        <v>2382</v>
      </c>
      <c r="P43" s="220">
        <v>3037</v>
      </c>
      <c r="Q43" s="254">
        <v>3293</v>
      </c>
      <c r="R43" s="172">
        <v>3231</v>
      </c>
      <c r="S43" s="8">
        <f t="shared" si="3"/>
        <v>33559.5</v>
      </c>
      <c r="T43" s="1">
        <f t="shared" si="4"/>
        <v>12</v>
      </c>
      <c r="U43" s="31">
        <f t="shared" si="0"/>
        <v>2796.625</v>
      </c>
    </row>
    <row r="44" spans="1:21">
      <c r="A44" s="1">
        <v>40</v>
      </c>
      <c r="B44" s="1" t="s">
        <v>536</v>
      </c>
      <c r="C44" s="4">
        <v>7008200</v>
      </c>
      <c r="D44" s="4"/>
      <c r="E44" s="1" t="s">
        <v>276</v>
      </c>
      <c r="F44" s="1" t="s">
        <v>347</v>
      </c>
      <c r="G44" s="181">
        <v>9111.32</v>
      </c>
      <c r="H44" s="226">
        <v>8505.48</v>
      </c>
      <c r="I44" s="229">
        <v>7157.12</v>
      </c>
      <c r="J44" s="192">
        <v>9250.49</v>
      </c>
      <c r="K44" s="195">
        <v>7339.12</v>
      </c>
      <c r="L44" s="238">
        <v>6574.8</v>
      </c>
      <c r="M44" s="212">
        <v>6010.23</v>
      </c>
      <c r="N44" s="212">
        <v>6344.65</v>
      </c>
      <c r="O44" s="217">
        <v>7954.38</v>
      </c>
      <c r="P44" s="220">
        <v>9523.06</v>
      </c>
      <c r="Q44" s="254">
        <v>8943.5</v>
      </c>
      <c r="R44" s="172">
        <v>8452.7000000000007</v>
      </c>
      <c r="S44" s="8">
        <f t="shared" si="3"/>
        <v>95166.849999999991</v>
      </c>
      <c r="T44" s="1">
        <f t="shared" si="4"/>
        <v>12</v>
      </c>
      <c r="U44" s="31">
        <f t="shared" si="0"/>
        <v>7930.5708333333323</v>
      </c>
    </row>
    <row r="45" spans="1:21">
      <c r="A45" s="1">
        <v>41</v>
      </c>
      <c r="B45" s="1" t="s">
        <v>540</v>
      </c>
      <c r="C45" s="4">
        <v>7002600</v>
      </c>
      <c r="D45" s="4"/>
      <c r="E45" s="1" t="s">
        <v>509</v>
      </c>
      <c r="F45" s="1" t="s">
        <v>509</v>
      </c>
      <c r="G45" s="179">
        <v>12144.69</v>
      </c>
      <c r="H45" s="226">
        <v>12111.83</v>
      </c>
      <c r="I45" s="229">
        <v>10278.16</v>
      </c>
      <c r="J45" s="192">
        <v>13731.44</v>
      </c>
      <c r="K45" s="195">
        <f>7156.82+13731.44</f>
        <v>20888.260000000002</v>
      </c>
      <c r="L45" s="238">
        <v>3959.69</v>
      </c>
      <c r="M45" s="242">
        <v>3758.41</v>
      </c>
      <c r="N45" s="212">
        <v>4824.5600000000004</v>
      </c>
      <c r="O45" s="217">
        <v>8009.12</v>
      </c>
      <c r="P45" s="220">
        <v>12708.31</v>
      </c>
      <c r="Q45" s="254">
        <v>12551.09</v>
      </c>
      <c r="R45" s="172">
        <f>12225.9-13731.44</f>
        <v>-1505.5400000000009</v>
      </c>
      <c r="S45" s="8">
        <f t="shared" si="3"/>
        <v>113460.01999999999</v>
      </c>
      <c r="T45" s="1">
        <f t="shared" si="4"/>
        <v>12</v>
      </c>
      <c r="U45" s="31">
        <f t="shared" si="0"/>
        <v>9455.0016666666652</v>
      </c>
    </row>
    <row r="46" spans="1:21">
      <c r="A46" s="1">
        <v>42</v>
      </c>
      <c r="B46" s="1" t="s">
        <v>537</v>
      </c>
      <c r="C46" s="4">
        <v>7007600</v>
      </c>
      <c r="D46" s="4"/>
      <c r="E46" s="1" t="s">
        <v>258</v>
      </c>
      <c r="F46" s="1" t="s">
        <v>258</v>
      </c>
      <c r="G46" s="179">
        <v>10074.98</v>
      </c>
      <c r="H46" s="226">
        <v>9001.4699999999993</v>
      </c>
      <c r="I46" s="229">
        <v>9932.1299999999992</v>
      </c>
      <c r="J46" s="192">
        <v>11182.21</v>
      </c>
      <c r="K46" s="195">
        <v>7464.59</v>
      </c>
      <c r="L46" s="238">
        <v>6004.14</v>
      </c>
      <c r="M46" s="242">
        <v>6858.58</v>
      </c>
      <c r="N46" s="212">
        <v>6600.47</v>
      </c>
      <c r="O46" s="217">
        <v>8195.7199999999993</v>
      </c>
      <c r="P46" s="220">
        <v>11624.17</v>
      </c>
      <c r="Q46" s="254">
        <v>6476.44</v>
      </c>
      <c r="R46" s="172">
        <v>6566.1</v>
      </c>
      <c r="S46" s="8">
        <f t="shared" si="3"/>
        <v>99981</v>
      </c>
      <c r="T46" s="1">
        <f t="shared" si="4"/>
        <v>12</v>
      </c>
      <c r="U46" s="31">
        <f t="shared" si="0"/>
        <v>8331.75</v>
      </c>
    </row>
    <row r="47" spans="1:21">
      <c r="A47" s="1">
        <v>43</v>
      </c>
      <c r="B47" s="1" t="s">
        <v>537</v>
      </c>
      <c r="C47" s="4">
        <v>7006200</v>
      </c>
      <c r="D47" s="4"/>
      <c r="E47" s="1" t="s">
        <v>520</v>
      </c>
      <c r="F47" s="1" t="s">
        <v>520</v>
      </c>
      <c r="G47" s="179">
        <v>9588.51</v>
      </c>
      <c r="H47" s="226">
        <v>8820.32</v>
      </c>
      <c r="I47" s="229">
        <v>8687.9500000000007</v>
      </c>
      <c r="J47" s="192">
        <v>10650.29</v>
      </c>
      <c r="K47" s="195">
        <v>7692.37</v>
      </c>
      <c r="L47" s="238">
        <v>4919.3500000000004</v>
      </c>
      <c r="M47" s="242">
        <v>5999.92</v>
      </c>
      <c r="N47" s="212">
        <v>6946.65</v>
      </c>
      <c r="O47" s="217">
        <v>8597.41</v>
      </c>
      <c r="P47" s="220">
        <v>11475</v>
      </c>
      <c r="Q47" s="254">
        <v>10199.620000000001</v>
      </c>
      <c r="R47" s="172">
        <v>9711.9599999999991</v>
      </c>
      <c r="S47" s="8">
        <f t="shared" si="3"/>
        <v>103289.35</v>
      </c>
      <c r="T47" s="1">
        <f t="shared" si="4"/>
        <v>12</v>
      </c>
      <c r="U47" s="31">
        <f t="shared" si="0"/>
        <v>8607.4458333333332</v>
      </c>
    </row>
    <row r="48" spans="1:21">
      <c r="A48" s="1">
        <v>44</v>
      </c>
      <c r="B48" s="1" t="s">
        <v>540</v>
      </c>
      <c r="C48" s="4">
        <v>15031377</v>
      </c>
      <c r="D48" s="4"/>
      <c r="E48" s="1" t="s">
        <v>513</v>
      </c>
      <c r="F48" s="1" t="s">
        <v>513</v>
      </c>
      <c r="G48" s="179"/>
      <c r="H48" s="226">
        <v>15881.94</v>
      </c>
      <c r="I48" s="229">
        <v>10646.55</v>
      </c>
      <c r="J48" s="192">
        <v>17906.43</v>
      </c>
      <c r="K48" s="195">
        <v>8680.3799999999992</v>
      </c>
      <c r="L48" s="238">
        <v>4519.99</v>
      </c>
      <c r="M48" s="242">
        <v>4227.68</v>
      </c>
      <c r="N48" s="212">
        <v>6693.7</v>
      </c>
      <c r="O48" s="217">
        <v>10617.76</v>
      </c>
      <c r="P48" s="220">
        <v>13745.4</v>
      </c>
      <c r="Q48" s="254">
        <v>10838.38</v>
      </c>
      <c r="R48" s="172">
        <v>10396.91</v>
      </c>
      <c r="S48" s="8"/>
      <c r="T48" s="1">
        <f t="shared" si="4"/>
        <v>11</v>
      </c>
      <c r="U48" s="31">
        <f t="shared" si="0"/>
        <v>0</v>
      </c>
    </row>
    <row r="49" spans="1:21">
      <c r="A49" s="1">
        <v>45</v>
      </c>
      <c r="B49" s="1" t="s">
        <v>544</v>
      </c>
      <c r="C49" s="4">
        <v>15018015</v>
      </c>
      <c r="D49" s="4">
        <v>131</v>
      </c>
      <c r="E49" s="1" t="s">
        <v>481</v>
      </c>
      <c r="F49" s="1" t="s">
        <v>481</v>
      </c>
      <c r="G49" s="179">
        <v>30407.38</v>
      </c>
      <c r="H49" s="226">
        <v>23936.63</v>
      </c>
      <c r="I49" s="229">
        <v>21451.24</v>
      </c>
      <c r="J49" s="192">
        <v>32482.82</v>
      </c>
      <c r="K49" s="242">
        <v>16521.43</v>
      </c>
      <c r="L49" s="220">
        <v>9768.7000000000007</v>
      </c>
      <c r="M49" s="217">
        <v>11203.4</v>
      </c>
      <c r="N49" s="217">
        <v>17223.02</v>
      </c>
      <c r="O49" s="220">
        <v>22208.39</v>
      </c>
      <c r="P49" s="254">
        <v>30710.61</v>
      </c>
      <c r="Q49" s="254">
        <v>25369.55</v>
      </c>
      <c r="R49" s="172">
        <v>22308.74</v>
      </c>
      <c r="S49" s="8">
        <f t="shared" ref="S49:S79" si="5">+SUM(G49:R49)</f>
        <v>263591.90999999997</v>
      </c>
      <c r="T49" s="1">
        <f t="shared" si="4"/>
        <v>12</v>
      </c>
      <c r="U49" s="31">
        <f t="shared" si="0"/>
        <v>21965.992499999997</v>
      </c>
    </row>
    <row r="50" spans="1:21">
      <c r="A50" s="1">
        <v>46</v>
      </c>
      <c r="B50" s="1" t="s">
        <v>545</v>
      </c>
      <c r="C50" s="4">
        <v>7002700</v>
      </c>
      <c r="D50" s="4">
        <v>110</v>
      </c>
      <c r="E50" s="1" t="s">
        <v>262</v>
      </c>
      <c r="F50" s="1" t="s">
        <v>262</v>
      </c>
      <c r="G50" s="230">
        <v>69.599999999999994</v>
      </c>
      <c r="H50" s="229">
        <v>79.739999999999995</v>
      </c>
      <c r="I50" s="229">
        <v>84.06</v>
      </c>
      <c r="J50" s="192">
        <v>69</v>
      </c>
      <c r="K50" s="242">
        <v>65.099999999999994</v>
      </c>
      <c r="L50" s="242">
        <v>78.599999999999994</v>
      </c>
      <c r="M50" s="254">
        <v>65.400000000000006</v>
      </c>
      <c r="N50" s="254">
        <v>72.900000000000006</v>
      </c>
      <c r="O50" s="254">
        <v>91.74</v>
      </c>
      <c r="P50" s="254">
        <v>70.2</v>
      </c>
      <c r="Q50" s="254">
        <v>90.6</v>
      </c>
      <c r="R50" s="181">
        <v>99</v>
      </c>
      <c r="S50" s="8">
        <f t="shared" si="5"/>
        <v>935.94</v>
      </c>
      <c r="T50" s="1">
        <f t="shared" si="4"/>
        <v>12</v>
      </c>
      <c r="U50" s="31">
        <f t="shared" si="0"/>
        <v>77.995000000000005</v>
      </c>
    </row>
    <row r="51" spans="1:21">
      <c r="A51" s="1">
        <v>47</v>
      </c>
      <c r="B51" s="1" t="s">
        <v>546</v>
      </c>
      <c r="C51" s="4">
        <v>7008700</v>
      </c>
      <c r="D51" s="4">
        <v>773</v>
      </c>
      <c r="E51" s="1" t="s">
        <v>109</v>
      </c>
      <c r="F51" s="1" t="s">
        <v>109</v>
      </c>
      <c r="G51" s="179">
        <v>1747.98</v>
      </c>
      <c r="H51" s="226">
        <v>1498.54</v>
      </c>
      <c r="I51" s="229">
        <v>2915.16</v>
      </c>
      <c r="J51" s="192">
        <v>1671.72</v>
      </c>
      <c r="K51" s="195">
        <v>924.54</v>
      </c>
      <c r="L51" s="238">
        <v>828.42</v>
      </c>
      <c r="M51" s="242">
        <v>388.8</v>
      </c>
      <c r="N51" s="212">
        <v>407.4</v>
      </c>
      <c r="O51" s="217">
        <v>1126.2</v>
      </c>
      <c r="P51" s="220">
        <v>1283.4000000000001</v>
      </c>
      <c r="Q51" s="254">
        <v>1227.9000000000001</v>
      </c>
      <c r="R51" s="172">
        <v>1136.82</v>
      </c>
      <c r="S51" s="8">
        <f t="shared" si="5"/>
        <v>15156.88</v>
      </c>
      <c r="T51" s="1">
        <f t="shared" si="4"/>
        <v>12</v>
      </c>
      <c r="U51" s="31">
        <f t="shared" si="0"/>
        <v>1263.0733333333333</v>
      </c>
    </row>
    <row r="52" spans="1:21">
      <c r="A52" s="1">
        <v>48</v>
      </c>
      <c r="C52" s="4">
        <v>13348900</v>
      </c>
      <c r="D52" s="4">
        <v>88</v>
      </c>
      <c r="E52" s="1" t="s">
        <v>461</v>
      </c>
      <c r="F52" s="1" t="s">
        <v>461</v>
      </c>
      <c r="G52" s="180"/>
      <c r="H52" s="228"/>
      <c r="I52" s="233"/>
      <c r="J52" s="193"/>
      <c r="K52" s="196"/>
      <c r="L52" s="240"/>
      <c r="M52" s="243"/>
      <c r="N52" s="211"/>
      <c r="O52" s="218"/>
      <c r="P52" s="222"/>
      <c r="Q52" s="255"/>
      <c r="R52" s="173"/>
      <c r="S52" s="8">
        <f t="shared" si="5"/>
        <v>0</v>
      </c>
      <c r="T52" s="1">
        <f t="shared" si="4"/>
        <v>0</v>
      </c>
      <c r="U52" s="31">
        <f t="shared" si="0"/>
        <v>0</v>
      </c>
    </row>
    <row r="53" spans="1:21">
      <c r="A53" s="1">
        <v>49</v>
      </c>
      <c r="B53" s="1" t="s">
        <v>531</v>
      </c>
      <c r="C53" s="4">
        <v>7008800</v>
      </c>
      <c r="D53" s="4">
        <v>534</v>
      </c>
      <c r="E53" s="1" t="s">
        <v>88</v>
      </c>
      <c r="F53" s="1" t="s">
        <v>88</v>
      </c>
      <c r="G53" s="179">
        <v>531.63</v>
      </c>
      <c r="H53" s="226">
        <v>540.12</v>
      </c>
      <c r="I53" s="229">
        <v>842.24</v>
      </c>
      <c r="J53" s="192">
        <v>1226.1400000000001</v>
      </c>
      <c r="K53" s="195">
        <v>593.20000000000005</v>
      </c>
      <c r="L53" s="238">
        <v>280.83</v>
      </c>
      <c r="M53" s="242">
        <v>241.61</v>
      </c>
      <c r="N53" s="212">
        <v>553.77</v>
      </c>
      <c r="O53" s="220">
        <v>551.28</v>
      </c>
      <c r="P53" s="220">
        <v>1112.5999999999999</v>
      </c>
      <c r="Q53" s="254">
        <v>1252.52</v>
      </c>
      <c r="R53" s="172">
        <v>620.53</v>
      </c>
      <c r="S53" s="8">
        <f t="shared" si="5"/>
        <v>8346.4699999999993</v>
      </c>
      <c r="T53" s="1">
        <f t="shared" si="4"/>
        <v>12</v>
      </c>
      <c r="U53" s="31">
        <f t="shared" si="0"/>
        <v>695.53916666666657</v>
      </c>
    </row>
    <row r="54" spans="1:21">
      <c r="A54" s="1">
        <v>50</v>
      </c>
      <c r="B54" s="1" t="s">
        <v>540</v>
      </c>
      <c r="C54" s="4">
        <v>10288600</v>
      </c>
      <c r="D54" s="4">
        <v>134</v>
      </c>
      <c r="E54" s="1" t="s">
        <v>264</v>
      </c>
      <c r="F54" s="1" t="s">
        <v>264</v>
      </c>
      <c r="G54" s="179">
        <v>80035.289999999994</v>
      </c>
      <c r="H54" s="226">
        <v>84017.79</v>
      </c>
      <c r="I54" s="229">
        <v>79514.59</v>
      </c>
      <c r="J54" s="192">
        <v>89583.41</v>
      </c>
      <c r="K54" s="195">
        <v>57354.87</v>
      </c>
      <c r="L54" s="238">
        <v>29338.34</v>
      </c>
      <c r="M54" s="242">
        <v>34652.67</v>
      </c>
      <c r="N54" s="212">
        <v>41143.24</v>
      </c>
      <c r="O54" s="217">
        <v>58874.63</v>
      </c>
      <c r="P54" s="220">
        <v>87824.28</v>
      </c>
      <c r="Q54" s="254">
        <v>78693.42</v>
      </c>
      <c r="R54" s="172">
        <v>71741.55</v>
      </c>
      <c r="S54" s="8">
        <f t="shared" si="5"/>
        <v>792774.08000000007</v>
      </c>
      <c r="T54" s="1">
        <f t="shared" si="4"/>
        <v>12</v>
      </c>
      <c r="U54" s="31">
        <f t="shared" si="0"/>
        <v>66064.506666666668</v>
      </c>
    </row>
    <row r="55" spans="1:21">
      <c r="A55" s="1">
        <v>51</v>
      </c>
      <c r="B55" s="1" t="s">
        <v>533</v>
      </c>
      <c r="C55" s="4">
        <v>15013835</v>
      </c>
      <c r="D55" s="4">
        <v>4129</v>
      </c>
      <c r="E55" s="1" t="s">
        <v>510</v>
      </c>
      <c r="F55" s="1" t="s">
        <v>510</v>
      </c>
      <c r="G55" s="179">
        <v>6703.86</v>
      </c>
      <c r="H55" s="226">
        <v>6142.32</v>
      </c>
      <c r="I55" s="229">
        <v>5362.2</v>
      </c>
      <c r="J55" s="192">
        <v>4772.88</v>
      </c>
      <c r="K55" s="195">
        <f>4772.88+4893.36</f>
        <v>9666.24</v>
      </c>
      <c r="L55" s="238">
        <v>3844.56</v>
      </c>
      <c r="M55" s="242">
        <v>4483.62</v>
      </c>
      <c r="N55" s="212">
        <v>4276.26</v>
      </c>
      <c r="O55" s="217">
        <v>5568.48</v>
      </c>
      <c r="P55" s="220">
        <v>5132.6400000000003</v>
      </c>
      <c r="Q55" s="254">
        <v>5558.46</v>
      </c>
      <c r="R55" s="172">
        <f>5545.68-4772.88</f>
        <v>772.80000000000018</v>
      </c>
      <c r="S55" s="8">
        <f t="shared" si="5"/>
        <v>62284.32</v>
      </c>
      <c r="T55" s="1">
        <f t="shared" si="4"/>
        <v>12</v>
      </c>
      <c r="U55" s="31">
        <f t="shared" si="0"/>
        <v>5190.3599999999997</v>
      </c>
    </row>
    <row r="56" spans="1:21">
      <c r="A56" s="1">
        <v>52</v>
      </c>
      <c r="B56" s="1" t="s">
        <v>532</v>
      </c>
      <c r="C56" s="4">
        <v>7005102</v>
      </c>
      <c r="D56" s="4">
        <v>111</v>
      </c>
      <c r="E56" s="1" t="s">
        <v>265</v>
      </c>
      <c r="F56" s="1" t="s">
        <v>265</v>
      </c>
      <c r="G56" s="179">
        <v>7274.45</v>
      </c>
      <c r="H56" s="226">
        <v>7214.52</v>
      </c>
      <c r="I56" s="229">
        <v>6562.76</v>
      </c>
      <c r="J56" s="192">
        <v>7785.76</v>
      </c>
      <c r="K56" s="195">
        <v>6107.54</v>
      </c>
      <c r="L56" s="238">
        <v>5252.05</v>
      </c>
      <c r="M56" s="242">
        <v>2118.67</v>
      </c>
      <c r="N56" s="212">
        <v>5407.2</v>
      </c>
      <c r="O56" s="217">
        <v>6805.5</v>
      </c>
      <c r="P56" s="220">
        <v>7425.73</v>
      </c>
      <c r="Q56" s="254">
        <v>6796.73</v>
      </c>
      <c r="R56" s="172">
        <v>6235.32</v>
      </c>
      <c r="S56" s="8">
        <f t="shared" si="5"/>
        <v>74986.23000000001</v>
      </c>
      <c r="T56" s="1">
        <f t="shared" si="4"/>
        <v>12</v>
      </c>
      <c r="U56" s="31">
        <f t="shared" si="0"/>
        <v>6248.8525000000009</v>
      </c>
    </row>
    <row r="57" spans="1:21">
      <c r="A57" s="1">
        <v>53</v>
      </c>
      <c r="B57" s="1" t="s">
        <v>532</v>
      </c>
      <c r="C57" s="4">
        <v>15028327</v>
      </c>
      <c r="D57" s="4">
        <v>112</v>
      </c>
      <c r="E57" s="1" t="s">
        <v>511</v>
      </c>
      <c r="F57" s="1" t="s">
        <v>511</v>
      </c>
      <c r="G57" s="179">
        <v>5821.84</v>
      </c>
      <c r="H57" s="226">
        <v>5766.22</v>
      </c>
      <c r="I57" s="229">
        <v>5544.45</v>
      </c>
      <c r="J57" s="192">
        <v>5978.51</v>
      </c>
      <c r="K57" s="195">
        <v>5061.17</v>
      </c>
      <c r="L57" s="238">
        <v>4050.24</v>
      </c>
      <c r="M57" s="242">
        <v>3480.5</v>
      </c>
      <c r="N57" s="212">
        <v>3540.91</v>
      </c>
      <c r="O57" s="217">
        <v>6357.67</v>
      </c>
      <c r="P57" s="220">
        <v>6571.98</v>
      </c>
      <c r="Q57" s="254">
        <v>6018.29</v>
      </c>
      <c r="R57" s="172">
        <v>5882.32</v>
      </c>
      <c r="S57" s="8">
        <f t="shared" si="5"/>
        <v>64074.099999999991</v>
      </c>
      <c r="T57" s="1">
        <f t="shared" si="4"/>
        <v>12</v>
      </c>
      <c r="U57" s="31">
        <f t="shared" si="0"/>
        <v>5339.5083333333323</v>
      </c>
    </row>
    <row r="58" spans="1:21">
      <c r="A58" s="1">
        <v>54</v>
      </c>
      <c r="B58" s="1" t="s">
        <v>535</v>
      </c>
      <c r="C58" s="4">
        <v>7003101</v>
      </c>
      <c r="D58" s="4">
        <v>113</v>
      </c>
      <c r="E58" s="1" t="s">
        <v>267</v>
      </c>
      <c r="F58" s="1" t="s">
        <v>267</v>
      </c>
      <c r="G58" s="179">
        <v>1002.05</v>
      </c>
      <c r="H58" s="226">
        <v>998.82</v>
      </c>
      <c r="I58" s="229">
        <v>872.57</v>
      </c>
      <c r="J58" s="192">
        <v>1208.1199999999999</v>
      </c>
      <c r="K58" s="195">
        <v>867.11</v>
      </c>
      <c r="L58" s="238">
        <v>706.1</v>
      </c>
      <c r="M58" s="242">
        <v>556.26</v>
      </c>
      <c r="N58" s="212">
        <v>561.41999999999996</v>
      </c>
      <c r="O58" s="217">
        <v>676.74</v>
      </c>
      <c r="P58" s="220">
        <v>1082.4000000000001</v>
      </c>
      <c r="Q58" s="254">
        <v>1264.3399999999999</v>
      </c>
      <c r="R58" s="172">
        <v>1052.67</v>
      </c>
      <c r="S58" s="8">
        <f t="shared" si="5"/>
        <v>10848.6</v>
      </c>
      <c r="T58" s="1">
        <f t="shared" si="4"/>
        <v>12</v>
      </c>
      <c r="U58" s="31">
        <f t="shared" si="0"/>
        <v>904.05000000000007</v>
      </c>
    </row>
    <row r="59" spans="1:21">
      <c r="A59" s="1">
        <v>55</v>
      </c>
      <c r="B59" s="1" t="s">
        <v>547</v>
      </c>
      <c r="C59" s="4">
        <v>15028936</v>
      </c>
      <c r="D59" s="4"/>
      <c r="E59" s="1" t="s">
        <v>478</v>
      </c>
      <c r="F59" s="1" t="s">
        <v>478</v>
      </c>
      <c r="G59" s="179">
        <v>209.16</v>
      </c>
      <c r="H59" s="226">
        <v>105.86</v>
      </c>
      <c r="I59" s="229">
        <v>107.4</v>
      </c>
      <c r="J59" s="192">
        <v>172.48</v>
      </c>
      <c r="K59" s="195">
        <v>102</v>
      </c>
      <c r="L59" s="238">
        <v>38.01</v>
      </c>
      <c r="M59" s="242">
        <v>155.25</v>
      </c>
      <c r="N59" s="212">
        <v>224.16</v>
      </c>
      <c r="O59" s="217">
        <v>133.62</v>
      </c>
      <c r="P59" s="220">
        <v>66</v>
      </c>
      <c r="Q59" s="254">
        <v>176.19</v>
      </c>
      <c r="R59" s="172">
        <v>107.85</v>
      </c>
      <c r="S59" s="8">
        <f t="shared" si="5"/>
        <v>1597.98</v>
      </c>
      <c r="T59" s="1">
        <f t="shared" si="4"/>
        <v>12</v>
      </c>
      <c r="U59" s="31">
        <f t="shared" si="0"/>
        <v>133.16499999999999</v>
      </c>
    </row>
    <row r="60" spans="1:21">
      <c r="A60" s="1">
        <v>56</v>
      </c>
      <c r="B60" s="1" t="s">
        <v>535</v>
      </c>
      <c r="C60" s="4">
        <v>7008901</v>
      </c>
      <c r="D60" s="4">
        <v>135</v>
      </c>
      <c r="E60" s="1" t="s">
        <v>268</v>
      </c>
      <c r="F60" s="1" t="s">
        <v>268</v>
      </c>
      <c r="G60" s="179">
        <v>5449.32</v>
      </c>
      <c r="H60" s="226">
        <v>4513.2</v>
      </c>
      <c r="I60" s="229">
        <v>5384.4</v>
      </c>
      <c r="J60" s="192">
        <v>5747.76</v>
      </c>
      <c r="K60" s="195">
        <v>2881.26</v>
      </c>
      <c r="L60" s="238">
        <v>1745.76</v>
      </c>
      <c r="M60" s="242">
        <v>1840.44</v>
      </c>
      <c r="N60" s="212">
        <v>2445.42</v>
      </c>
      <c r="O60" s="217">
        <v>3124.2</v>
      </c>
      <c r="P60" s="220">
        <v>6196.98</v>
      </c>
      <c r="Q60" s="254">
        <v>5387.52</v>
      </c>
      <c r="R60" s="172">
        <v>4609.62</v>
      </c>
      <c r="S60" s="8">
        <f t="shared" si="5"/>
        <v>49325.88</v>
      </c>
      <c r="T60" s="1">
        <f t="shared" si="4"/>
        <v>12</v>
      </c>
      <c r="U60" s="31">
        <f t="shared" si="0"/>
        <v>4110.49</v>
      </c>
    </row>
    <row r="61" spans="1:21">
      <c r="A61" s="1">
        <v>57</v>
      </c>
      <c r="C61" s="4">
        <v>15020408</v>
      </c>
      <c r="D61" s="4"/>
      <c r="E61" s="1" t="s">
        <v>367</v>
      </c>
      <c r="F61" s="1" t="s">
        <v>367</v>
      </c>
      <c r="G61" s="179">
        <v>226.2</v>
      </c>
      <c r="H61" s="226">
        <v>186.3</v>
      </c>
      <c r="I61" s="229">
        <v>131.62</v>
      </c>
      <c r="J61" s="192">
        <v>109.8</v>
      </c>
      <c r="K61" s="195">
        <v>0</v>
      </c>
      <c r="L61" s="238">
        <v>0</v>
      </c>
      <c r="M61" s="242">
        <v>142.80000000000001</v>
      </c>
      <c r="N61" s="212">
        <v>0</v>
      </c>
      <c r="O61" s="217">
        <v>0</v>
      </c>
      <c r="P61" s="220">
        <v>0</v>
      </c>
      <c r="Q61" s="254">
        <v>259.75</v>
      </c>
      <c r="R61" s="172">
        <v>222.15</v>
      </c>
      <c r="S61" s="8">
        <f t="shared" si="5"/>
        <v>1278.6200000000001</v>
      </c>
      <c r="T61" s="1">
        <f t="shared" si="4"/>
        <v>12</v>
      </c>
      <c r="U61" s="31">
        <f t="shared" si="0"/>
        <v>106.55166666666668</v>
      </c>
    </row>
    <row r="62" spans="1:21">
      <c r="A62" s="1">
        <v>58</v>
      </c>
      <c r="B62" s="1" t="s">
        <v>538</v>
      </c>
      <c r="C62" s="4">
        <v>7001502</v>
      </c>
      <c r="D62" s="4">
        <v>128</v>
      </c>
      <c r="E62" s="1" t="s">
        <v>270</v>
      </c>
      <c r="F62" s="1" t="s">
        <v>270</v>
      </c>
      <c r="G62" s="179">
        <v>6834.01</v>
      </c>
      <c r="H62" s="226">
        <v>5069.5200000000004</v>
      </c>
      <c r="I62" s="229">
        <v>3988.62</v>
      </c>
      <c r="J62" s="192">
        <v>6898</v>
      </c>
      <c r="K62" s="195">
        <v>3434.34</v>
      </c>
      <c r="L62" s="238">
        <v>2599.65</v>
      </c>
      <c r="M62" s="242">
        <v>5264.01</v>
      </c>
      <c r="N62" s="212">
        <v>3853.27</v>
      </c>
      <c r="O62" s="217">
        <v>7550.47</v>
      </c>
      <c r="P62" s="220">
        <v>10259.31</v>
      </c>
      <c r="Q62" s="254">
        <v>9416.1</v>
      </c>
      <c r="R62" s="172">
        <v>10153.73</v>
      </c>
      <c r="S62" s="8">
        <f t="shared" si="5"/>
        <v>75321.03</v>
      </c>
      <c r="T62" s="1">
        <f t="shared" si="4"/>
        <v>12</v>
      </c>
      <c r="U62" s="31">
        <f t="shared" si="0"/>
        <v>6276.7524999999996</v>
      </c>
    </row>
    <row r="63" spans="1:21">
      <c r="A63" s="1">
        <v>59</v>
      </c>
      <c r="B63" s="1" t="s">
        <v>532</v>
      </c>
      <c r="C63" s="4">
        <v>7008400</v>
      </c>
      <c r="D63" s="4">
        <v>209</v>
      </c>
      <c r="E63" s="1" t="s">
        <v>271</v>
      </c>
      <c r="F63" s="1" t="s">
        <v>271</v>
      </c>
      <c r="G63" s="179">
        <v>4278.84</v>
      </c>
      <c r="H63" s="226">
        <v>3487.15</v>
      </c>
      <c r="I63" s="229">
        <v>2892.36</v>
      </c>
      <c r="J63" s="192">
        <v>4309.63</v>
      </c>
      <c r="K63" s="195">
        <v>2929.93</v>
      </c>
      <c r="L63" s="238">
        <v>2658.67</v>
      </c>
      <c r="M63" s="242">
        <v>2038.72</v>
      </c>
      <c r="N63" s="212">
        <v>2391.11</v>
      </c>
      <c r="O63" s="217">
        <v>2855.23</v>
      </c>
      <c r="P63" s="220">
        <v>3032</v>
      </c>
      <c r="Q63" s="254">
        <v>2469.8200000000002</v>
      </c>
      <c r="R63" s="172">
        <v>2537.16</v>
      </c>
      <c r="S63" s="8">
        <f t="shared" si="5"/>
        <v>35880.62000000001</v>
      </c>
      <c r="T63" s="1">
        <f t="shared" si="4"/>
        <v>12</v>
      </c>
      <c r="U63" s="31">
        <f t="shared" si="0"/>
        <v>2990.0516666666676</v>
      </c>
    </row>
    <row r="64" spans="1:21">
      <c r="A64" s="1">
        <v>60</v>
      </c>
      <c r="B64" s="1" t="s">
        <v>538</v>
      </c>
      <c r="C64" s="4">
        <v>15007129</v>
      </c>
      <c r="D64" s="4"/>
      <c r="E64" s="1" t="s">
        <v>479</v>
      </c>
      <c r="F64" s="1" t="s">
        <v>479</v>
      </c>
      <c r="G64" s="179">
        <v>7144.58</v>
      </c>
      <c r="H64" s="226">
        <v>6763.82</v>
      </c>
      <c r="I64" s="229">
        <v>5764.89</v>
      </c>
      <c r="J64" s="192">
        <v>6906.29</v>
      </c>
      <c r="K64" s="195">
        <v>3983.75</v>
      </c>
      <c r="L64" s="238">
        <v>3551.44</v>
      </c>
      <c r="M64" s="242">
        <v>3586.39</v>
      </c>
      <c r="N64" s="212">
        <v>4706.63</v>
      </c>
      <c r="O64" s="217">
        <v>6240.13</v>
      </c>
      <c r="P64" s="220">
        <v>8092.64</v>
      </c>
      <c r="Q64" s="254">
        <v>6392.33</v>
      </c>
      <c r="R64" s="172">
        <v>5381.21</v>
      </c>
      <c r="S64" s="8">
        <f t="shared" si="5"/>
        <v>68514.100000000006</v>
      </c>
      <c r="T64" s="1">
        <f t="shared" si="4"/>
        <v>12</v>
      </c>
      <c r="U64" s="31">
        <f t="shared" si="0"/>
        <v>5709.5083333333341</v>
      </c>
    </row>
    <row r="65" spans="1:21">
      <c r="A65" s="1">
        <v>61</v>
      </c>
      <c r="B65" s="1" t="s">
        <v>541</v>
      </c>
      <c r="C65" s="4">
        <v>15013110</v>
      </c>
      <c r="D65" s="4"/>
      <c r="E65" s="1" t="s">
        <v>480</v>
      </c>
      <c r="F65" s="1" t="s">
        <v>480</v>
      </c>
      <c r="G65" s="181">
        <v>7926.51</v>
      </c>
      <c r="H65" s="226">
        <v>7426.51</v>
      </c>
      <c r="I65" s="229">
        <v>8131.64</v>
      </c>
      <c r="J65" s="192">
        <v>8983.99</v>
      </c>
      <c r="K65" s="195">
        <v>7100.63</v>
      </c>
      <c r="L65" s="238">
        <v>5875.17</v>
      </c>
      <c r="M65" s="242">
        <v>6069.33</v>
      </c>
      <c r="N65" s="212">
        <v>6383.93</v>
      </c>
      <c r="O65" s="217">
        <v>7855.62</v>
      </c>
      <c r="P65" s="220">
        <v>9439.51</v>
      </c>
      <c r="Q65" s="254">
        <v>8449.7900000000009</v>
      </c>
      <c r="R65" s="172">
        <v>7250.25</v>
      </c>
      <c r="S65" s="8">
        <f t="shared" si="5"/>
        <v>90892.88</v>
      </c>
      <c r="T65" s="1">
        <f t="shared" si="4"/>
        <v>12</v>
      </c>
      <c r="U65" s="31">
        <f t="shared" si="0"/>
        <v>7574.4066666666668</v>
      </c>
    </row>
    <row r="66" spans="1:21">
      <c r="A66" s="1">
        <v>62</v>
      </c>
      <c r="B66" s="1" t="s">
        <v>535</v>
      </c>
      <c r="C66" s="4">
        <v>7004001</v>
      </c>
      <c r="D66" s="4">
        <v>116</v>
      </c>
      <c r="E66" s="1" t="s">
        <v>277</v>
      </c>
      <c r="F66" s="1" t="s">
        <v>277</v>
      </c>
      <c r="G66" s="181">
        <v>14853.26</v>
      </c>
      <c r="H66" s="226">
        <v>14493.83</v>
      </c>
      <c r="I66" s="229">
        <v>13452.61</v>
      </c>
      <c r="J66" s="192">
        <v>14462.37</v>
      </c>
      <c r="K66" s="195">
        <v>11613.8</v>
      </c>
      <c r="L66" s="238">
        <v>7742.58</v>
      </c>
      <c r="M66" s="242">
        <v>10147.620000000001</v>
      </c>
      <c r="N66" s="212">
        <v>10551.37</v>
      </c>
      <c r="O66" s="217">
        <v>11623.71</v>
      </c>
      <c r="P66" s="220">
        <v>14086.32</v>
      </c>
      <c r="Q66" s="254">
        <v>14669.34</v>
      </c>
      <c r="R66" s="172">
        <v>13536.42</v>
      </c>
      <c r="S66" s="8">
        <f t="shared" si="5"/>
        <v>151233.23000000001</v>
      </c>
      <c r="T66" s="1">
        <f t="shared" si="4"/>
        <v>12</v>
      </c>
      <c r="U66" s="31">
        <f t="shared" si="0"/>
        <v>12602.769166666667</v>
      </c>
    </row>
    <row r="67" spans="1:21">
      <c r="A67" s="1">
        <v>63</v>
      </c>
      <c r="B67" s="1" t="s">
        <v>530</v>
      </c>
      <c r="C67" s="4">
        <v>15021222</v>
      </c>
      <c r="D67" s="4">
        <v>556</v>
      </c>
      <c r="E67" s="1" t="s">
        <v>90</v>
      </c>
      <c r="F67" s="1" t="s">
        <v>90</v>
      </c>
      <c r="G67" s="181">
        <v>15886.74</v>
      </c>
      <c r="H67" s="226">
        <v>15468.93</v>
      </c>
      <c r="I67" s="229">
        <v>14239.44</v>
      </c>
      <c r="J67" s="192">
        <v>16417.080000000002</v>
      </c>
      <c r="K67" s="195">
        <v>12564.67</v>
      </c>
      <c r="L67" s="238">
        <v>10596.68</v>
      </c>
      <c r="M67" s="242">
        <v>10622.46</v>
      </c>
      <c r="N67" s="212">
        <v>11544.68</v>
      </c>
      <c r="O67" s="217">
        <v>13710.5</v>
      </c>
      <c r="P67" s="220">
        <v>17135.88</v>
      </c>
      <c r="Q67" s="254">
        <v>15439.26</v>
      </c>
      <c r="R67" s="172">
        <v>16260.74</v>
      </c>
      <c r="S67" s="8">
        <f t="shared" si="5"/>
        <v>169887.06</v>
      </c>
      <c r="T67" s="1">
        <f t="shared" si="4"/>
        <v>12</v>
      </c>
      <c r="U67" s="31">
        <f t="shared" si="0"/>
        <v>14157.254999999999</v>
      </c>
    </row>
    <row r="68" spans="1:21">
      <c r="A68" s="1">
        <v>64</v>
      </c>
      <c r="B68" s="1" t="s">
        <v>537</v>
      </c>
      <c r="C68" s="4">
        <v>15020277</v>
      </c>
      <c r="D68" s="4"/>
      <c r="E68" s="1" t="s">
        <v>364</v>
      </c>
      <c r="F68" s="1" t="s">
        <v>364</v>
      </c>
      <c r="G68" s="181">
        <v>18884.61</v>
      </c>
      <c r="H68" s="226">
        <v>18175.25</v>
      </c>
      <c r="I68" s="229">
        <v>17893.38</v>
      </c>
      <c r="J68" s="192">
        <v>21585.759999999998</v>
      </c>
      <c r="K68" s="195">
        <v>17239.02</v>
      </c>
      <c r="L68" s="238">
        <v>13338.37</v>
      </c>
      <c r="M68" s="242">
        <v>14421.78</v>
      </c>
      <c r="N68" s="212">
        <v>14803.71</v>
      </c>
      <c r="O68" s="217">
        <v>17033.59</v>
      </c>
      <c r="P68" s="220">
        <v>22460.61</v>
      </c>
      <c r="Q68" s="254">
        <v>20735.580000000002</v>
      </c>
      <c r="R68" s="172">
        <v>18929.400000000001</v>
      </c>
      <c r="S68" s="8">
        <f t="shared" si="5"/>
        <v>215501.06000000003</v>
      </c>
      <c r="T68" s="1">
        <f t="shared" si="4"/>
        <v>12</v>
      </c>
      <c r="U68" s="31">
        <f t="shared" si="0"/>
        <v>17958.421666666669</v>
      </c>
    </row>
    <row r="69" spans="1:21">
      <c r="A69" s="1">
        <v>65</v>
      </c>
      <c r="C69" s="4">
        <v>13236300</v>
      </c>
      <c r="D69" s="4"/>
      <c r="E69" s="1" t="s">
        <v>514</v>
      </c>
      <c r="F69" s="1" t="s">
        <v>514</v>
      </c>
      <c r="G69" s="180"/>
      <c r="H69" s="228"/>
      <c r="I69" s="229">
        <v>157.5</v>
      </c>
      <c r="J69" s="192">
        <v>64.39</v>
      </c>
      <c r="K69" s="242">
        <v>204.5</v>
      </c>
      <c r="L69" s="242">
        <v>129.87</v>
      </c>
      <c r="M69" s="217">
        <v>0</v>
      </c>
      <c r="N69" s="217">
        <v>0</v>
      </c>
      <c r="O69" s="217">
        <v>0</v>
      </c>
      <c r="P69" s="217">
        <v>0</v>
      </c>
      <c r="Q69" s="254">
        <v>10.55</v>
      </c>
      <c r="R69" s="172">
        <v>0</v>
      </c>
      <c r="S69" s="8">
        <f t="shared" si="5"/>
        <v>566.80999999999995</v>
      </c>
      <c r="T69" s="1">
        <f t="shared" si="4"/>
        <v>10</v>
      </c>
      <c r="U69" s="31">
        <f t="shared" ref="U69:U83" si="6">+IF(S69=0,0,S69/T69)</f>
        <v>56.680999999999997</v>
      </c>
    </row>
    <row r="70" spans="1:21">
      <c r="A70" s="1">
        <v>66</v>
      </c>
      <c r="B70" s="1" t="s">
        <v>539</v>
      </c>
      <c r="C70" s="4">
        <v>15005530</v>
      </c>
      <c r="D70" s="4">
        <v>107</v>
      </c>
      <c r="E70" s="1" t="s">
        <v>526</v>
      </c>
      <c r="F70" s="1" t="s">
        <v>278</v>
      </c>
      <c r="G70" s="179">
        <v>1360.06</v>
      </c>
      <c r="H70" s="226">
        <v>1186.08</v>
      </c>
      <c r="I70" s="229">
        <v>1443.16</v>
      </c>
      <c r="J70" s="192">
        <v>2464.9</v>
      </c>
      <c r="K70" s="195">
        <v>932.44</v>
      </c>
      <c r="L70" s="238">
        <v>734.84</v>
      </c>
      <c r="M70" s="242">
        <v>702.35</v>
      </c>
      <c r="N70" s="212">
        <v>607.66999999999996</v>
      </c>
      <c r="O70" s="217">
        <v>939.4</v>
      </c>
      <c r="P70" s="220">
        <v>2118.09</v>
      </c>
      <c r="Q70" s="254">
        <v>1291.0899999999999</v>
      </c>
      <c r="R70" s="172">
        <v>1028.94</v>
      </c>
      <c r="S70" s="8">
        <f t="shared" si="5"/>
        <v>14809.020000000002</v>
      </c>
      <c r="T70" s="1">
        <f t="shared" si="4"/>
        <v>12</v>
      </c>
      <c r="U70" s="31">
        <f t="shared" si="6"/>
        <v>1234.0850000000003</v>
      </c>
    </row>
    <row r="71" spans="1:21">
      <c r="A71" s="1">
        <v>67</v>
      </c>
      <c r="B71" s="1" t="s">
        <v>530</v>
      </c>
      <c r="C71" s="42">
        <v>7008000</v>
      </c>
      <c r="D71" s="42">
        <v>118</v>
      </c>
      <c r="E71" s="11" t="s">
        <v>280</v>
      </c>
      <c r="F71" s="11" t="s">
        <v>280</v>
      </c>
      <c r="G71" s="179">
        <v>3288.69</v>
      </c>
      <c r="H71" s="226">
        <v>2292.69</v>
      </c>
      <c r="I71" s="192">
        <v>3816.89</v>
      </c>
      <c r="J71" s="192">
        <v>4328.72</v>
      </c>
      <c r="K71" s="195">
        <v>2940.13</v>
      </c>
      <c r="L71" s="238">
        <v>2352.9</v>
      </c>
      <c r="M71" s="242">
        <v>2352.9299999999998</v>
      </c>
      <c r="N71" s="212">
        <v>1445.83</v>
      </c>
      <c r="O71" s="217">
        <v>3842.53</v>
      </c>
      <c r="P71" s="220">
        <v>2774.76</v>
      </c>
      <c r="Q71" s="254">
        <v>3624.95</v>
      </c>
      <c r="R71" s="172">
        <v>3853.17</v>
      </c>
      <c r="S71" s="8">
        <f t="shared" si="5"/>
        <v>36914.19</v>
      </c>
      <c r="T71" s="1">
        <f t="shared" si="4"/>
        <v>12</v>
      </c>
      <c r="U71" s="31">
        <f t="shared" si="6"/>
        <v>3076.1825000000003</v>
      </c>
    </row>
    <row r="72" spans="1:21">
      <c r="A72" s="1">
        <v>68</v>
      </c>
      <c r="B72" s="1" t="s">
        <v>548</v>
      </c>
      <c r="C72" s="4">
        <v>7004600</v>
      </c>
      <c r="D72" s="4">
        <v>119</v>
      </c>
      <c r="E72" s="1" t="s">
        <v>281</v>
      </c>
      <c r="F72" s="1" t="s">
        <v>281</v>
      </c>
      <c r="G72" s="179">
        <v>1293.42</v>
      </c>
      <c r="H72" s="226">
        <v>1398.54</v>
      </c>
      <c r="I72" s="229">
        <v>1512.36</v>
      </c>
      <c r="J72" s="192">
        <v>1528.26</v>
      </c>
      <c r="K72" s="195">
        <v>1485.42</v>
      </c>
      <c r="L72" s="238">
        <v>596.76</v>
      </c>
      <c r="M72" s="242">
        <v>1061.22</v>
      </c>
      <c r="N72" s="212">
        <v>1117.92</v>
      </c>
      <c r="O72" s="217">
        <v>1455.72</v>
      </c>
      <c r="P72" s="220">
        <v>1431.54</v>
      </c>
      <c r="Q72" s="254">
        <v>1303.02</v>
      </c>
      <c r="R72" s="172">
        <v>1285.2</v>
      </c>
      <c r="S72" s="8">
        <f t="shared" si="5"/>
        <v>15469.380000000001</v>
      </c>
      <c r="T72" s="1">
        <f t="shared" si="4"/>
        <v>12</v>
      </c>
      <c r="U72" s="31">
        <f t="shared" si="6"/>
        <v>1289.115</v>
      </c>
    </row>
    <row r="73" spans="1:21">
      <c r="A73" s="1">
        <v>69</v>
      </c>
      <c r="B73" s="1" t="s">
        <v>543</v>
      </c>
      <c r="C73" s="4">
        <v>15021222</v>
      </c>
      <c r="D73" s="4">
        <v>568</v>
      </c>
      <c r="E73" s="1" t="s">
        <v>91</v>
      </c>
      <c r="F73" s="1" t="s">
        <v>91</v>
      </c>
      <c r="G73" s="179">
        <v>18101.43</v>
      </c>
      <c r="H73" s="226">
        <v>15816.62</v>
      </c>
      <c r="I73" s="229">
        <v>15258.09</v>
      </c>
      <c r="J73" s="192">
        <v>19776.18</v>
      </c>
      <c r="K73" s="195">
        <v>13983.11</v>
      </c>
      <c r="L73" s="238">
        <v>11076.02</v>
      </c>
      <c r="M73" s="242">
        <v>12764.96</v>
      </c>
      <c r="N73" s="212">
        <v>13820.65</v>
      </c>
      <c r="O73" s="217">
        <v>16772.439999999999</v>
      </c>
      <c r="P73" s="220">
        <v>22836.42</v>
      </c>
      <c r="Q73" s="254">
        <v>19243.560000000001</v>
      </c>
      <c r="R73" s="172">
        <v>18139.05</v>
      </c>
      <c r="S73" s="8">
        <f t="shared" si="5"/>
        <v>197588.52999999997</v>
      </c>
      <c r="T73" s="1">
        <f t="shared" si="4"/>
        <v>12</v>
      </c>
      <c r="U73" s="31">
        <f t="shared" si="6"/>
        <v>16465.710833333331</v>
      </c>
    </row>
    <row r="74" spans="1:21">
      <c r="A74" s="1">
        <v>70</v>
      </c>
      <c r="B74" s="1" t="s">
        <v>530</v>
      </c>
      <c r="C74" s="4">
        <v>13032900</v>
      </c>
      <c r="D74" s="4"/>
      <c r="E74" s="1" t="s">
        <v>519</v>
      </c>
      <c r="F74" s="1" t="s">
        <v>368</v>
      </c>
      <c r="G74" s="181">
        <v>203.76</v>
      </c>
      <c r="H74" s="226">
        <v>95.1</v>
      </c>
      <c r="I74" s="229">
        <v>149.4</v>
      </c>
      <c r="J74" s="192">
        <v>187.6</v>
      </c>
      <c r="K74" s="195">
        <v>147.84</v>
      </c>
      <c r="L74" s="238">
        <v>78.19</v>
      </c>
      <c r="M74" s="242">
        <v>43.8</v>
      </c>
      <c r="N74" s="212">
        <v>0</v>
      </c>
      <c r="O74" s="217">
        <v>109.91</v>
      </c>
      <c r="P74" s="220">
        <v>187.43</v>
      </c>
      <c r="Q74" s="254">
        <v>239.79</v>
      </c>
      <c r="R74" s="172">
        <v>206.68</v>
      </c>
      <c r="S74" s="8">
        <f t="shared" si="5"/>
        <v>1649.5</v>
      </c>
      <c r="T74" s="1">
        <f t="shared" si="4"/>
        <v>12</v>
      </c>
      <c r="U74" s="31">
        <f t="shared" si="6"/>
        <v>137.45833333333334</v>
      </c>
    </row>
    <row r="75" spans="1:21">
      <c r="A75" s="1">
        <v>71</v>
      </c>
      <c r="B75" s="1" t="s">
        <v>533</v>
      </c>
      <c r="C75" s="4">
        <v>7004800</v>
      </c>
      <c r="D75" s="4"/>
      <c r="E75" s="1" t="s">
        <v>283</v>
      </c>
      <c r="F75" s="1" t="s">
        <v>283</v>
      </c>
      <c r="G75" s="179">
        <v>3020.67</v>
      </c>
      <c r="H75" s="226">
        <v>3011.79</v>
      </c>
      <c r="I75" s="229">
        <v>2905.76</v>
      </c>
      <c r="J75" s="192">
        <v>3291.51</v>
      </c>
      <c r="K75" s="195">
        <v>2556.1799999999998</v>
      </c>
      <c r="L75" s="238">
        <v>1949.6</v>
      </c>
      <c r="M75" s="242">
        <v>1774.88</v>
      </c>
      <c r="N75" s="212">
        <v>1429.48</v>
      </c>
      <c r="O75" s="217">
        <v>2040.9</v>
      </c>
      <c r="P75" s="220">
        <v>2783.41</v>
      </c>
      <c r="Q75" s="254">
        <v>1756.94</v>
      </c>
      <c r="R75" s="172">
        <v>2106.0500000000002</v>
      </c>
      <c r="S75" s="8">
        <f t="shared" si="5"/>
        <v>28627.170000000002</v>
      </c>
      <c r="T75" s="1">
        <f t="shared" si="4"/>
        <v>12</v>
      </c>
      <c r="U75" s="31">
        <f t="shared" si="6"/>
        <v>2385.5975000000003</v>
      </c>
    </row>
    <row r="76" spans="1:21">
      <c r="A76" s="1">
        <v>72</v>
      </c>
      <c r="B76" s="1" t="s">
        <v>549</v>
      </c>
      <c r="C76" s="4">
        <v>7005200</v>
      </c>
      <c r="D76" s="4"/>
      <c r="E76" s="1" t="s">
        <v>284</v>
      </c>
      <c r="F76" s="1" t="s">
        <v>284</v>
      </c>
      <c r="G76" s="179">
        <v>4045.85</v>
      </c>
      <c r="H76" s="226">
        <v>3074.07</v>
      </c>
      <c r="I76" s="229">
        <v>4480.3999999999996</v>
      </c>
      <c r="J76" s="192">
        <v>5448.98</v>
      </c>
      <c r="K76" s="195">
        <v>3999.04</v>
      </c>
      <c r="L76" s="238">
        <v>3175.65</v>
      </c>
      <c r="M76" s="242">
        <v>4115.03</v>
      </c>
      <c r="N76" s="212">
        <v>3777.68</v>
      </c>
      <c r="O76" s="217">
        <v>3715.48</v>
      </c>
      <c r="P76" s="220">
        <v>4246.4799999999996</v>
      </c>
      <c r="Q76" s="254">
        <v>4313.25</v>
      </c>
      <c r="R76" s="172">
        <v>4736.45</v>
      </c>
      <c r="S76" s="8">
        <f t="shared" si="5"/>
        <v>49128.36</v>
      </c>
      <c r="T76" s="1">
        <f t="shared" si="4"/>
        <v>12</v>
      </c>
      <c r="U76" s="31">
        <f t="shared" si="6"/>
        <v>4094.03</v>
      </c>
    </row>
    <row r="77" spans="1:21">
      <c r="A77" s="1">
        <v>73</v>
      </c>
      <c r="B77" s="1" t="s">
        <v>547</v>
      </c>
      <c r="C77" s="4">
        <v>7004900</v>
      </c>
      <c r="D77" s="4">
        <v>120</v>
      </c>
      <c r="E77" s="1" t="s">
        <v>393</v>
      </c>
      <c r="F77" s="1" t="s">
        <v>393</v>
      </c>
      <c r="G77" s="181">
        <v>262.2</v>
      </c>
      <c r="H77" s="226">
        <v>246.3</v>
      </c>
      <c r="I77" s="229">
        <v>240.96</v>
      </c>
      <c r="J77" s="192">
        <v>222</v>
      </c>
      <c r="K77" s="195">
        <v>238.8</v>
      </c>
      <c r="L77" s="238">
        <v>234.9</v>
      </c>
      <c r="M77" s="242">
        <v>247.8</v>
      </c>
      <c r="N77" s="212">
        <v>256.2</v>
      </c>
      <c r="O77" s="217">
        <v>236.4</v>
      </c>
      <c r="P77" s="220">
        <v>230.4</v>
      </c>
      <c r="Q77" s="254">
        <v>230.4</v>
      </c>
      <c r="R77" s="172">
        <v>213.6</v>
      </c>
      <c r="S77" s="8">
        <f t="shared" si="5"/>
        <v>2859.96</v>
      </c>
      <c r="T77" s="1">
        <f t="shared" si="4"/>
        <v>12</v>
      </c>
      <c r="U77" s="31">
        <f t="shared" si="6"/>
        <v>238.33</v>
      </c>
    </row>
    <row r="78" spans="1:21">
      <c r="A78" s="1">
        <v>74</v>
      </c>
      <c r="B78" s="1" t="s">
        <v>532</v>
      </c>
      <c r="C78" s="4">
        <v>7002901</v>
      </c>
      <c r="D78" s="4">
        <v>121</v>
      </c>
      <c r="E78" s="1" t="s">
        <v>502</v>
      </c>
      <c r="F78" s="1" t="s">
        <v>502</v>
      </c>
      <c r="G78" s="179">
        <v>3004.57</v>
      </c>
      <c r="H78" s="226">
        <v>3183.71</v>
      </c>
      <c r="I78" s="229">
        <v>2334.12</v>
      </c>
      <c r="J78" s="192">
        <v>2941.34</v>
      </c>
      <c r="K78" s="195">
        <v>2087.36</v>
      </c>
      <c r="L78" s="238">
        <v>1757.09</v>
      </c>
      <c r="M78" s="242">
        <v>1626.07</v>
      </c>
      <c r="N78" s="212">
        <v>1833.54</v>
      </c>
      <c r="O78" s="217">
        <v>2704.83</v>
      </c>
      <c r="P78" s="220">
        <v>3431.95</v>
      </c>
      <c r="Q78" s="254">
        <v>3083.68</v>
      </c>
      <c r="R78" s="172">
        <v>3151.62</v>
      </c>
      <c r="S78" s="8">
        <f t="shared" si="5"/>
        <v>31139.880000000005</v>
      </c>
      <c r="T78" s="1">
        <f t="shared" si="4"/>
        <v>12</v>
      </c>
      <c r="U78" s="31">
        <f t="shared" si="6"/>
        <v>2594.9900000000002</v>
      </c>
    </row>
    <row r="79" spans="1:21">
      <c r="A79" s="1">
        <v>75</v>
      </c>
      <c r="B79" s="1" t="s">
        <v>539</v>
      </c>
      <c r="C79" s="4">
        <v>7007100</v>
      </c>
      <c r="D79" s="4">
        <v>180</v>
      </c>
      <c r="E79" s="1" t="s">
        <v>286</v>
      </c>
      <c r="F79" s="1" t="s">
        <v>286</v>
      </c>
      <c r="G79" s="181">
        <v>610.13</v>
      </c>
      <c r="H79" s="226">
        <v>367.02</v>
      </c>
      <c r="I79" s="229">
        <v>470.76</v>
      </c>
      <c r="J79" s="192">
        <v>1212.1199999999999</v>
      </c>
      <c r="K79" s="195">
        <v>471.07</v>
      </c>
      <c r="L79" s="238">
        <v>121.38</v>
      </c>
      <c r="M79" s="242">
        <v>134.46</v>
      </c>
      <c r="N79" s="212">
        <v>17.88</v>
      </c>
      <c r="O79" s="217">
        <v>0</v>
      </c>
      <c r="P79" s="220">
        <v>0</v>
      </c>
      <c r="Q79" s="254">
        <v>0</v>
      </c>
      <c r="R79" s="172">
        <v>0</v>
      </c>
      <c r="S79" s="8">
        <f t="shared" si="5"/>
        <v>3404.82</v>
      </c>
      <c r="T79" s="1">
        <f t="shared" si="4"/>
        <v>12</v>
      </c>
      <c r="U79" s="31">
        <f t="shared" si="6"/>
        <v>283.73500000000001</v>
      </c>
    </row>
    <row r="80" spans="1:21">
      <c r="B80" s="1" t="s">
        <v>543</v>
      </c>
      <c r="C80" s="4">
        <v>15032222</v>
      </c>
      <c r="D80" s="4"/>
      <c r="E80" s="1" t="s">
        <v>518</v>
      </c>
      <c r="F80" s="1" t="s">
        <v>518</v>
      </c>
      <c r="G80" s="180"/>
      <c r="H80" s="228"/>
      <c r="I80" s="233"/>
      <c r="J80" s="192">
        <v>15869.69</v>
      </c>
      <c r="K80" s="195">
        <v>15380.73</v>
      </c>
      <c r="L80" s="238">
        <v>8444.4699999999993</v>
      </c>
      <c r="M80" s="242">
        <v>6227.95</v>
      </c>
      <c r="N80" s="212">
        <v>10073.14</v>
      </c>
      <c r="O80" s="217">
        <v>13466.47</v>
      </c>
      <c r="P80" s="220">
        <v>21349.85</v>
      </c>
      <c r="Q80" s="254">
        <v>19388.490000000002</v>
      </c>
      <c r="R80" s="172">
        <v>11121.66</v>
      </c>
      <c r="S80" s="8"/>
      <c r="U80" s="31"/>
    </row>
    <row r="81" spans="1:21">
      <c r="A81" s="1">
        <v>76</v>
      </c>
      <c r="B81" s="1" t="s">
        <v>531</v>
      </c>
      <c r="C81" s="4">
        <v>7009800</v>
      </c>
      <c r="D81" s="4"/>
      <c r="E81" s="1" t="s">
        <v>113</v>
      </c>
      <c r="F81" s="1" t="s">
        <v>113</v>
      </c>
      <c r="G81" s="181">
        <v>334.5</v>
      </c>
      <c r="H81" s="226">
        <v>334.29</v>
      </c>
      <c r="I81" s="229">
        <v>117</v>
      </c>
      <c r="J81" s="192">
        <v>364.01</v>
      </c>
      <c r="K81" s="195">
        <v>240.7</v>
      </c>
      <c r="L81" s="238">
        <v>84</v>
      </c>
      <c r="M81" s="242">
        <v>168</v>
      </c>
      <c r="N81" s="212">
        <v>183</v>
      </c>
      <c r="O81" s="217">
        <v>223.5</v>
      </c>
      <c r="P81" s="220">
        <v>334.29</v>
      </c>
      <c r="Q81" s="254">
        <v>232.71</v>
      </c>
      <c r="R81" s="172">
        <v>296.79000000000002</v>
      </c>
      <c r="S81" s="8">
        <f>+SUM(G81:R81)</f>
        <v>2912.79</v>
      </c>
      <c r="T81" s="1">
        <f>COUNT(G81:R81)</f>
        <v>12</v>
      </c>
      <c r="U81" s="31">
        <f t="shared" si="6"/>
        <v>242.73249999999999</v>
      </c>
    </row>
    <row r="82" spans="1:21">
      <c r="A82" s="1">
        <v>77</v>
      </c>
      <c r="B82" s="1" t="s">
        <v>532</v>
      </c>
      <c r="C82" s="4">
        <v>15030830</v>
      </c>
      <c r="D82" s="4"/>
      <c r="E82" s="1" t="s">
        <v>482</v>
      </c>
      <c r="F82" s="1" t="s">
        <v>482</v>
      </c>
      <c r="G82" s="179">
        <v>4031.36</v>
      </c>
      <c r="H82" s="226">
        <v>3596.67</v>
      </c>
      <c r="I82" s="229">
        <v>2805.07</v>
      </c>
      <c r="J82" s="192">
        <v>3827.72</v>
      </c>
      <c r="K82" s="195">
        <v>2362.59</v>
      </c>
      <c r="L82" s="238">
        <v>2172.6</v>
      </c>
      <c r="M82" s="242">
        <v>2057.1999999999998</v>
      </c>
      <c r="N82" s="212">
        <v>2082.58</v>
      </c>
      <c r="O82" s="217">
        <v>2931.83</v>
      </c>
      <c r="P82" s="220">
        <v>3666.58</v>
      </c>
      <c r="Q82" s="254">
        <v>3510.25</v>
      </c>
      <c r="R82" s="172">
        <v>3729.53</v>
      </c>
      <c r="S82" s="8">
        <f>+SUM(G82:R82)</f>
        <v>36773.980000000003</v>
      </c>
      <c r="T82" s="1">
        <f>COUNT(G82:R82)</f>
        <v>12</v>
      </c>
      <c r="U82" s="31">
        <f t="shared" si="6"/>
        <v>3064.4983333333334</v>
      </c>
    </row>
    <row r="83" spans="1:21">
      <c r="A83" s="1">
        <v>78</v>
      </c>
      <c r="B83" s="22" t="s">
        <v>550</v>
      </c>
      <c r="C83" s="51">
        <v>7007701</v>
      </c>
      <c r="D83" s="51">
        <v>122</v>
      </c>
      <c r="E83" s="52" t="s">
        <v>98</v>
      </c>
      <c r="F83" s="52" t="s">
        <v>98</v>
      </c>
      <c r="G83" s="225">
        <v>8327.76</v>
      </c>
      <c r="H83" s="227">
        <v>8212.26</v>
      </c>
      <c r="I83" s="232">
        <v>8726.18</v>
      </c>
      <c r="J83" s="235">
        <v>11118.35</v>
      </c>
      <c r="K83" s="236">
        <v>8936.26</v>
      </c>
      <c r="L83" s="241">
        <v>5666.83</v>
      </c>
      <c r="M83" s="245">
        <v>7683.3</v>
      </c>
      <c r="N83" s="247">
        <v>7890.92</v>
      </c>
      <c r="O83" s="249">
        <v>9270.56</v>
      </c>
      <c r="P83" s="253">
        <v>12298.98</v>
      </c>
      <c r="Q83" s="258">
        <v>8893.32</v>
      </c>
      <c r="R83" s="260">
        <v>8964.64</v>
      </c>
      <c r="S83" s="33">
        <f>+SUM(G83:R83)</f>
        <v>105989.36</v>
      </c>
      <c r="T83" s="22">
        <f>COUNT(G83:R83)</f>
        <v>12</v>
      </c>
      <c r="U83" s="34">
        <f t="shared" si="6"/>
        <v>8832.4466666666667</v>
      </c>
    </row>
    <row r="84" spans="1:21">
      <c r="G84" s="31"/>
      <c r="H84" s="31"/>
      <c r="I84" s="31"/>
      <c r="J84" s="31"/>
      <c r="K84" s="31"/>
      <c r="L84" s="31"/>
      <c r="M84" s="31"/>
    </row>
    <row r="85" spans="1:21">
      <c r="E85" s="1" t="s">
        <v>140</v>
      </c>
      <c r="F85" s="1" t="s">
        <v>140</v>
      </c>
      <c r="G85" s="31">
        <f t="shared" ref="G85:L85" si="7">+SUM(G2:G83)</f>
        <v>820780.20999999973</v>
      </c>
      <c r="H85" s="31">
        <f t="shared" si="7"/>
        <v>780658.70999999985</v>
      </c>
      <c r="I85" s="31">
        <f t="shared" si="7"/>
        <v>765191.02999999991</v>
      </c>
      <c r="J85" s="31">
        <f t="shared" si="7"/>
        <v>952078.14999999991</v>
      </c>
      <c r="K85" s="31">
        <f t="shared" si="7"/>
        <v>699484.45000000007</v>
      </c>
      <c r="L85" s="31">
        <f t="shared" si="7"/>
        <v>465010.92000000004</v>
      </c>
      <c r="M85" s="31">
        <f>+SUM(M2:M83)</f>
        <v>485264.24</v>
      </c>
      <c r="N85" s="31">
        <f>+SUM(N2:N83)</f>
        <v>560682.36</v>
      </c>
      <c r="O85" s="31">
        <f>+SUM(O2:O83)</f>
        <v>718009.88999999978</v>
      </c>
      <c r="P85" s="31">
        <f>+SUM(P2:P83)</f>
        <v>972136.83000000019</v>
      </c>
      <c r="Q85" s="31">
        <f>+SUM(Q2:Q83)</f>
        <v>828830.19999999984</v>
      </c>
      <c r="R85" s="31">
        <f>SUM(R2:R83)</f>
        <v>736926.89000000025</v>
      </c>
      <c r="S85" s="31">
        <f>SUM(S3:S83)</f>
        <v>8197391.71</v>
      </c>
      <c r="U85" s="31">
        <f>+S85/10</f>
        <v>819739.17099999997</v>
      </c>
    </row>
    <row r="86" spans="1:21">
      <c r="E86" s="1" t="s">
        <v>348</v>
      </c>
      <c r="F86" s="1" t="s">
        <v>348</v>
      </c>
      <c r="G86" s="68">
        <f>-G38-G42-G50</f>
        <v>-18670.379999999997</v>
      </c>
      <c r="H86" s="68">
        <f>-H9-H10-H38-H42-H50</f>
        <v>-19696.830000000002</v>
      </c>
      <c r="I86" s="68">
        <f>-I9-I16-I29-I38-I71</f>
        <v>-45741.14</v>
      </c>
      <c r="J86" s="68">
        <f>-J10-J38</f>
        <v>-12895.95</v>
      </c>
      <c r="K86" s="68">
        <f>-K9-K38-K40-K49-K50-K69</f>
        <v>-38003.339999999997</v>
      </c>
      <c r="L86" s="68">
        <f>-L38-L49-L50-L69</f>
        <v>-19204.889999999996</v>
      </c>
      <c r="M86" s="68">
        <f>-M69-M50-M49-M44-M38-M28-M9</f>
        <v>-22509.01</v>
      </c>
      <c r="N86" s="68">
        <f>-N74-N69-N61-N50-N49-N38-N31-N10-N3</f>
        <v>-37049.630000000005</v>
      </c>
      <c r="O86" s="68">
        <f>-O79-O69-O61-O53-O50-O49-O12-O38-O23-O3</f>
        <v>-41313.449999999997</v>
      </c>
      <c r="P86" s="68">
        <f>-P79-P50-P49-P24-1886.89</f>
        <v>-33991.060000000005</v>
      </c>
      <c r="Q86" s="68">
        <f>-Q79-Q38-Q10-Q9-Q24</f>
        <v>-7956.46</v>
      </c>
      <c r="R86" s="68">
        <f>-R79-R69-R50-R10-R9-R3-R24</f>
        <v>-2632.23</v>
      </c>
      <c r="S86" s="31">
        <f t="shared" ref="S86:S92" si="8">+SUM(G86:R86)</f>
        <v>-299664.37</v>
      </c>
    </row>
    <row r="87" spans="1:21">
      <c r="E87" s="1" t="s">
        <v>349</v>
      </c>
      <c r="F87" s="1" t="s">
        <v>349</v>
      </c>
      <c r="G87" s="68">
        <f>+'2013'!R30+'2013'!R36+'2013'!R44+'2013'!P36+'2013'!R48+'2013'!Q61+'2013'!R61+'2013'!R72+'2013'!R82+'2013'!K6</f>
        <v>91804.19</v>
      </c>
      <c r="H87" s="68">
        <f>'2013'!L6</f>
        <v>1718.76</v>
      </c>
      <c r="I87" s="68">
        <f>H50+G50+G42+H42+G38+H10+H9+'2013'!R6+'2013'!Q6+'2013'!P6+'2013'!O6+'2013'!N6+'2013'!M6</f>
        <v>41937.58</v>
      </c>
      <c r="J87" s="68">
        <f>I71+I38+H38+I29+I16</f>
        <v>59672.04</v>
      </c>
      <c r="K87" s="68">
        <f>+I9+J10</f>
        <v>1806.99</v>
      </c>
      <c r="L87" s="68">
        <f>+K40+K9</f>
        <v>4583.67</v>
      </c>
      <c r="M87" s="68">
        <f>L69+K69+L50+K50+K49</f>
        <v>16999.5</v>
      </c>
      <c r="N87" s="68">
        <f>M44+M9</f>
        <v>6028.23</v>
      </c>
      <c r="O87" s="68">
        <f>N49+M49+N31+N10</f>
        <v>42968.160000000003</v>
      </c>
      <c r="P87" s="68">
        <f>O53+O49+L49+J38+O23+O12+Q9</f>
        <v>50333.59</v>
      </c>
      <c r="Q87" s="68">
        <f>P50+O50+N50+M50+P49+K38</f>
        <v>47639.490000000005</v>
      </c>
      <c r="R87" s="68">
        <f>Q10</f>
        <v>1756.52</v>
      </c>
      <c r="S87" s="31">
        <f t="shared" si="8"/>
        <v>367248.72</v>
      </c>
    </row>
    <row r="88" spans="1:21">
      <c r="E88" s="1" t="s">
        <v>301</v>
      </c>
      <c r="F88" s="1" t="s">
        <v>301</v>
      </c>
      <c r="G88" s="69">
        <f t="shared" ref="G88:P88" si="9">+SUM(G85:G87)</f>
        <v>893914.01999999979</v>
      </c>
      <c r="H88" s="69">
        <f t="shared" si="9"/>
        <v>762680.6399999999</v>
      </c>
      <c r="I88" s="69">
        <f t="shared" si="9"/>
        <v>761387.46999999986</v>
      </c>
      <c r="J88" s="69">
        <f t="shared" si="9"/>
        <v>998854.24</v>
      </c>
      <c r="K88" s="69">
        <f>+SUM(K85:K87)</f>
        <v>663288.10000000009</v>
      </c>
      <c r="L88" s="69">
        <f t="shared" si="9"/>
        <v>450389.7</v>
      </c>
      <c r="M88" s="69">
        <f t="shared" si="9"/>
        <v>479754.73</v>
      </c>
      <c r="N88" s="69">
        <f t="shared" si="9"/>
        <v>529660.96</v>
      </c>
      <c r="O88" s="69">
        <f t="shared" si="9"/>
        <v>719664.59999999986</v>
      </c>
      <c r="P88" s="69">
        <f t="shared" si="9"/>
        <v>988479.3600000001</v>
      </c>
      <c r="Q88" s="69">
        <f>+SUM(Q85:Q87)</f>
        <v>868513.22999999986</v>
      </c>
      <c r="R88" s="69">
        <f>+SUM(R85:R87)</f>
        <v>736051.18000000028</v>
      </c>
      <c r="S88" s="34">
        <f t="shared" si="8"/>
        <v>8852638.2299999986</v>
      </c>
    </row>
    <row r="89" spans="1:21">
      <c r="E89" s="67" t="s">
        <v>304</v>
      </c>
      <c r="F89" s="67" t="s">
        <v>304</v>
      </c>
      <c r="G89" s="68">
        <f t="shared" ref="G89:R89" si="10">+G88/6*4</f>
        <v>595942.67999999982</v>
      </c>
      <c r="H89" s="68">
        <f t="shared" si="10"/>
        <v>508453.75999999995</v>
      </c>
      <c r="I89" s="68">
        <f t="shared" si="10"/>
        <v>507591.64666666655</v>
      </c>
      <c r="J89" s="68">
        <f t="shared" si="10"/>
        <v>665902.82666666666</v>
      </c>
      <c r="K89" s="68">
        <f t="shared" si="10"/>
        <v>442192.06666666671</v>
      </c>
      <c r="L89" s="68">
        <f t="shared" si="10"/>
        <v>300259.8</v>
      </c>
      <c r="M89" s="68">
        <f>+M88/6*4</f>
        <v>319836.48666666663</v>
      </c>
      <c r="N89" s="68">
        <f t="shared" si="10"/>
        <v>353107.30666666664</v>
      </c>
      <c r="O89" s="68">
        <f t="shared" si="10"/>
        <v>479776.39999999991</v>
      </c>
      <c r="P89" s="68">
        <f t="shared" si="10"/>
        <v>658986.24000000011</v>
      </c>
      <c r="Q89" s="68">
        <f t="shared" si="10"/>
        <v>579008.81999999995</v>
      </c>
      <c r="R89" s="68">
        <f t="shared" si="10"/>
        <v>490700.78666666686</v>
      </c>
      <c r="S89" s="31">
        <f t="shared" si="8"/>
        <v>5901758.8200000003</v>
      </c>
    </row>
    <row r="90" spans="1:21">
      <c r="E90" s="67" t="s">
        <v>305</v>
      </c>
      <c r="F90" s="67" t="s">
        <v>305</v>
      </c>
      <c r="G90" s="68">
        <f t="shared" ref="G90:R90" si="11">+G88/6*2</f>
        <v>297971.33999999991</v>
      </c>
      <c r="H90" s="68">
        <f t="shared" si="11"/>
        <v>254226.87999999998</v>
      </c>
      <c r="I90" s="68">
        <f t="shared" si="11"/>
        <v>253795.82333333328</v>
      </c>
      <c r="J90" s="68">
        <f t="shared" si="11"/>
        <v>332951.41333333333</v>
      </c>
      <c r="K90" s="68">
        <f t="shared" si="11"/>
        <v>221096.03333333335</v>
      </c>
      <c r="L90" s="68">
        <f t="shared" si="11"/>
        <v>150129.9</v>
      </c>
      <c r="M90" s="68">
        <f>+M88/6*2</f>
        <v>159918.24333333332</v>
      </c>
      <c r="N90" s="68">
        <f t="shared" si="11"/>
        <v>176553.65333333332</v>
      </c>
      <c r="O90" s="68">
        <f t="shared" si="11"/>
        <v>239888.19999999995</v>
      </c>
      <c r="P90" s="68">
        <f t="shared" si="11"/>
        <v>329493.12000000005</v>
      </c>
      <c r="Q90" s="68">
        <f t="shared" si="11"/>
        <v>289504.40999999997</v>
      </c>
      <c r="R90" s="68">
        <f t="shared" si="11"/>
        <v>245350.39333333343</v>
      </c>
      <c r="S90" s="31">
        <f t="shared" si="8"/>
        <v>2950879.41</v>
      </c>
    </row>
    <row r="91" spans="1:21">
      <c r="E91" s="1" t="s">
        <v>302</v>
      </c>
      <c r="F91" s="1" t="s">
        <v>302</v>
      </c>
      <c r="G91" s="68">
        <f t="shared" ref="G91:R91" si="12">+G90*0.01</f>
        <v>2979.7133999999992</v>
      </c>
      <c r="H91" s="68">
        <f t="shared" si="12"/>
        <v>2542.2687999999998</v>
      </c>
      <c r="I91" s="68">
        <f t="shared" si="12"/>
        <v>2537.9582333333328</v>
      </c>
      <c r="J91" s="68">
        <f t="shared" si="12"/>
        <v>3329.5141333333336</v>
      </c>
      <c r="K91" s="68">
        <f t="shared" si="12"/>
        <v>2210.9603333333334</v>
      </c>
      <c r="L91" s="68">
        <f t="shared" si="12"/>
        <v>1501.299</v>
      </c>
      <c r="M91" s="68">
        <f>+M90*0.01</f>
        <v>1599.1824333333332</v>
      </c>
      <c r="N91" s="68">
        <f t="shared" si="12"/>
        <v>1765.5365333333332</v>
      </c>
      <c r="O91" s="68">
        <f t="shared" si="12"/>
        <v>2398.8819999999996</v>
      </c>
      <c r="P91" s="68">
        <f t="shared" si="12"/>
        <v>3294.9312000000004</v>
      </c>
      <c r="Q91" s="68">
        <f t="shared" si="12"/>
        <v>2895.0440999999996</v>
      </c>
      <c r="R91" s="68">
        <f t="shared" si="12"/>
        <v>2453.5039333333343</v>
      </c>
      <c r="S91" s="31">
        <f t="shared" si="8"/>
        <v>29508.794099999992</v>
      </c>
    </row>
    <row r="92" spans="1:21">
      <c r="E92" s="1" t="s">
        <v>303</v>
      </c>
      <c r="F92" s="1" t="s">
        <v>303</v>
      </c>
      <c r="G92" s="71">
        <f t="shared" ref="G92:R92" si="13">+G89-G91</f>
        <v>592962.96659999981</v>
      </c>
      <c r="H92" s="71">
        <f t="shared" si="13"/>
        <v>505911.49119999993</v>
      </c>
      <c r="I92" s="71">
        <f t="shared" si="13"/>
        <v>505053.68843333324</v>
      </c>
      <c r="J92" s="71">
        <f t="shared" si="13"/>
        <v>662573.31253333332</v>
      </c>
      <c r="K92" s="71">
        <f t="shared" si="13"/>
        <v>439981.10633333336</v>
      </c>
      <c r="L92" s="71">
        <f t="shared" si="13"/>
        <v>298758.50099999999</v>
      </c>
      <c r="M92" s="71">
        <f t="shared" si="13"/>
        <v>318237.30423333333</v>
      </c>
      <c r="N92" s="71">
        <f t="shared" si="13"/>
        <v>351341.77013333328</v>
      </c>
      <c r="O92" s="71">
        <f t="shared" si="13"/>
        <v>477377.51799999992</v>
      </c>
      <c r="P92" s="71">
        <f t="shared" si="13"/>
        <v>655691.30880000012</v>
      </c>
      <c r="Q92" s="71">
        <f t="shared" si="13"/>
        <v>576113.77589999989</v>
      </c>
      <c r="R92" s="71">
        <f t="shared" si="13"/>
        <v>488247.28273333353</v>
      </c>
      <c r="S92" s="34">
        <f t="shared" si="8"/>
        <v>5872250.0258999998</v>
      </c>
    </row>
    <row r="93" spans="1:21">
      <c r="H93" s="70"/>
      <c r="I93" s="70"/>
      <c r="J93" s="70"/>
      <c r="K93" s="70"/>
      <c r="L93" s="68"/>
      <c r="M93" s="70"/>
      <c r="O93" s="70"/>
      <c r="P93" s="68">
        <v>651583.43999999994</v>
      </c>
      <c r="S93" s="31"/>
    </row>
    <row r="94" spans="1:21"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8"/>
    </row>
    <row r="95" spans="1:21">
      <c r="E95" s="70"/>
      <c r="F95" s="70"/>
      <c r="G95" s="70"/>
      <c r="H95" s="70"/>
      <c r="I95" s="70"/>
      <c r="J95" s="8"/>
      <c r="K95" s="70"/>
      <c r="N95" s="70"/>
      <c r="O95" s="70"/>
      <c r="P95" s="70"/>
    </row>
    <row r="96" spans="1:21" s="137" customFormat="1">
      <c r="C96" s="137" t="s">
        <v>390</v>
      </c>
      <c r="G96" s="137">
        <v>15012853</v>
      </c>
      <c r="H96" s="137">
        <v>14095944</v>
      </c>
      <c r="I96" s="137">
        <v>13759862</v>
      </c>
      <c r="J96" s="137">
        <v>17283845</v>
      </c>
      <c r="K96" s="137">
        <v>11773455</v>
      </c>
      <c r="L96" s="137">
        <v>8401555</v>
      </c>
      <c r="M96" s="137">
        <v>8868445</v>
      </c>
      <c r="Q96" s="68"/>
      <c r="S96" s="137">
        <f>+SUM(G96:R96)</f>
        <v>89195959</v>
      </c>
    </row>
    <row r="97" spans="3:19" s="158" customFormat="1">
      <c r="C97" s="158" t="s">
        <v>389</v>
      </c>
      <c r="G97" s="158">
        <f t="shared" ref="G97:R97" si="14">+G96*0.06</f>
        <v>900771.17999999993</v>
      </c>
      <c r="H97" s="158">
        <f t="shared" si="14"/>
        <v>845756.64</v>
      </c>
      <c r="I97" s="158">
        <f t="shared" si="14"/>
        <v>825591.72</v>
      </c>
      <c r="J97" s="158">
        <f t="shared" si="14"/>
        <v>1037030.7</v>
      </c>
      <c r="K97" s="158">
        <f t="shared" si="14"/>
        <v>706407.29999999993</v>
      </c>
      <c r="L97" s="158">
        <f t="shared" si="14"/>
        <v>504093.3</v>
      </c>
      <c r="M97" s="158">
        <f t="shared" si="14"/>
        <v>532106.69999999995</v>
      </c>
      <c r="N97" s="158">
        <f t="shared" si="14"/>
        <v>0</v>
      </c>
      <c r="O97" s="158">
        <f t="shared" si="14"/>
        <v>0</v>
      </c>
      <c r="P97" s="158">
        <f t="shared" si="14"/>
        <v>0</v>
      </c>
      <c r="Q97" s="158">
        <f t="shared" si="14"/>
        <v>0</v>
      </c>
      <c r="R97" s="158">
        <f t="shared" si="14"/>
        <v>0</v>
      </c>
      <c r="S97" s="137">
        <f>+SUM(G97:R97)</f>
        <v>5351757.54</v>
      </c>
    </row>
    <row r="98" spans="3:19" s="158" customFormat="1">
      <c r="C98" s="159" t="s">
        <v>391</v>
      </c>
      <c r="D98" s="159"/>
      <c r="E98" s="159"/>
      <c r="F98" s="159"/>
      <c r="G98" s="219">
        <f t="shared" ref="G98:N98" si="15">+G88-G97</f>
        <v>-6857.160000000149</v>
      </c>
      <c r="H98" s="219">
        <f t="shared" si="15"/>
        <v>-83076.000000000116</v>
      </c>
      <c r="I98" s="219">
        <f t="shared" si="15"/>
        <v>-64204.250000000116</v>
      </c>
      <c r="J98" s="219">
        <f t="shared" si="15"/>
        <v>-38176.459999999963</v>
      </c>
      <c r="K98" s="219">
        <f t="shared" si="15"/>
        <v>-43119.199999999837</v>
      </c>
      <c r="L98" s="219">
        <f t="shared" si="15"/>
        <v>-53703.599999999977</v>
      </c>
      <c r="M98" s="219">
        <f t="shared" si="15"/>
        <v>-52351.969999999972</v>
      </c>
      <c r="N98" s="219">
        <f t="shared" si="15"/>
        <v>529660.96</v>
      </c>
      <c r="O98" s="219">
        <f>+O88-O97</f>
        <v>719664.59999999986</v>
      </c>
      <c r="P98" s="159"/>
      <c r="Q98" s="159"/>
      <c r="R98" s="159"/>
      <c r="S98" s="160">
        <f>+SUM(G98:R98)</f>
        <v>907836.91999999969</v>
      </c>
    </row>
    <row r="99" spans="3:19" s="78" customFormat="1">
      <c r="C99" s="78" t="s">
        <v>392</v>
      </c>
      <c r="G99" s="78">
        <f>+IF(G96=0," ",G98/G97)</f>
        <v>-7.612543731694601E-3</v>
      </c>
      <c r="H99" s="78">
        <f>+IF(H96=0," ",H98/H97)</f>
        <v>-9.8226837450546195E-2</v>
      </c>
      <c r="I99" s="78">
        <f>+IF(I96=0," ",I98/I97)</f>
        <v>-7.7767555614535619E-2</v>
      </c>
      <c r="J99" s="78">
        <f>+IF(J96=0," ",J98/J97)</f>
        <v>-3.6813239955191264E-2</v>
      </c>
      <c r="K99" s="78">
        <f t="shared" ref="K99:R99" si="16">+IF(K96=0," ",K98/K97)</f>
        <v>-6.1040139307733429E-2</v>
      </c>
      <c r="L99" s="78">
        <f t="shared" si="16"/>
        <v>-0.10653504023957465</v>
      </c>
      <c r="M99" s="78">
        <f t="shared" si="16"/>
        <v>-9.8386225920477938E-2</v>
      </c>
      <c r="N99" s="78" t="str">
        <f t="shared" si="16"/>
        <v xml:space="preserve"> </v>
      </c>
      <c r="O99" s="78" t="str">
        <f t="shared" si="16"/>
        <v xml:space="preserve"> </v>
      </c>
      <c r="P99" s="78" t="str">
        <f t="shared" si="16"/>
        <v xml:space="preserve"> </v>
      </c>
      <c r="Q99" s="78" t="str">
        <f t="shared" si="16"/>
        <v xml:space="preserve"> </v>
      </c>
      <c r="R99" s="78" t="str">
        <f t="shared" si="16"/>
        <v xml:space="preserve"> </v>
      </c>
      <c r="S99" s="78">
        <f>+S98/S97</f>
        <v>0.16963341728668815</v>
      </c>
    </row>
  </sheetData>
  <sortState xmlns:xlrd2="http://schemas.microsoft.com/office/spreadsheetml/2017/richdata2" ref="C2:V76">
    <sortCondition ref="F2:F76"/>
  </sortState>
  <printOptions horizontalCentered="1"/>
  <pageMargins left="0.25" right="0.25" top="0.5" bottom="0.25" header="0.25" footer="0.25"/>
  <pageSetup scale="56" fitToHeight="2" orientation="landscape" r:id="rId1"/>
  <headerFooter alignWithMargins="0">
    <oddHeader>&amp;C&amp;"Arial,Bold"&amp;11Occupancy Tax Receipts
Fiscal Year 2013</oddHead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U126"/>
  <sheetViews>
    <sheetView zoomScale="125" workbookViewId="0">
      <pane xSplit="6" ySplit="1" topLeftCell="G88" activePane="bottomRight" state="frozen"/>
      <selection pane="topRight" activeCell="C1" sqref="C1"/>
      <selection pane="bottomLeft" activeCell="A2" sqref="A2"/>
      <selection pane="bottomRight" activeCell="I123" sqref="I123"/>
    </sheetView>
  </sheetViews>
  <sheetFormatPr defaultColWidth="9.08984375" defaultRowHeight="10"/>
  <cols>
    <col min="1" max="1" width="2.6328125" style="1" bestFit="1" customWidth="1"/>
    <col min="2" max="2" width="10.54296875" style="1" customWidth="1"/>
    <col min="3" max="3" width="7.90625" style="1" bestFit="1" customWidth="1"/>
    <col min="4" max="4" width="7.90625" style="1" hidden="1" customWidth="1"/>
    <col min="5" max="5" width="27.36328125" style="1" customWidth="1"/>
    <col min="6" max="6" width="32.08984375" style="1" bestFit="1" customWidth="1"/>
    <col min="7" max="9" width="12" style="1" bestFit="1" customWidth="1"/>
    <col min="10" max="10" width="13.453125" style="1" bestFit="1" customWidth="1"/>
    <col min="11" max="11" width="12" style="1" customWidth="1"/>
    <col min="12" max="15" width="10.6328125" style="1" customWidth="1"/>
    <col min="16" max="16" width="11.36328125" style="1" customWidth="1"/>
    <col min="17" max="17" width="12" style="1" bestFit="1" customWidth="1"/>
    <col min="18" max="18" width="10.6328125" style="1" customWidth="1"/>
    <col min="19" max="19" width="13.6328125" style="1" customWidth="1"/>
    <col min="20" max="20" width="0" style="1" hidden="1" customWidth="1"/>
    <col min="21" max="21" width="10.6328125" style="1" customWidth="1"/>
    <col min="22" max="16384" width="9.08984375" style="1"/>
  </cols>
  <sheetData>
    <row r="1" spans="1:21" s="17" customFormat="1" ht="21">
      <c r="B1" s="17" t="s">
        <v>523</v>
      </c>
      <c r="C1" s="14" t="s">
        <v>82</v>
      </c>
      <c r="D1" s="20" t="s">
        <v>370</v>
      </c>
      <c r="E1" s="15" t="s">
        <v>524</v>
      </c>
      <c r="F1" s="15" t="s">
        <v>0</v>
      </c>
      <c r="G1" s="89" t="s">
        <v>551</v>
      </c>
      <c r="H1" s="261" t="s">
        <v>552</v>
      </c>
      <c r="I1" s="262" t="s">
        <v>553</v>
      </c>
      <c r="J1" s="263" t="s">
        <v>554</v>
      </c>
      <c r="K1" s="264" t="s">
        <v>555</v>
      </c>
      <c r="L1" s="265" t="s">
        <v>556</v>
      </c>
      <c r="M1" s="266" t="s">
        <v>557</v>
      </c>
      <c r="N1" s="267" t="s">
        <v>558</v>
      </c>
      <c r="O1" s="268" t="s">
        <v>559</v>
      </c>
      <c r="P1" s="269" t="s">
        <v>560</v>
      </c>
      <c r="Q1" s="270" t="s">
        <v>561</v>
      </c>
      <c r="R1" s="143" t="s">
        <v>562</v>
      </c>
      <c r="S1" s="64" t="s">
        <v>143</v>
      </c>
      <c r="T1" s="64"/>
      <c r="U1" s="64" t="s">
        <v>142</v>
      </c>
    </row>
    <row r="2" spans="1:21" s="17" customFormat="1" ht="10.5">
      <c r="A2" s="1">
        <v>1</v>
      </c>
      <c r="B2" s="1" t="s">
        <v>530</v>
      </c>
      <c r="C2" s="4">
        <v>15006238</v>
      </c>
      <c r="D2" s="4">
        <v>4074</v>
      </c>
      <c r="E2" s="1" t="s">
        <v>499</v>
      </c>
      <c r="F2" s="1" t="s">
        <v>499</v>
      </c>
      <c r="G2" s="181">
        <v>23664</v>
      </c>
      <c r="H2" s="184">
        <v>21096.31</v>
      </c>
      <c r="I2" s="229">
        <v>19514.28</v>
      </c>
      <c r="J2" s="274">
        <v>27535.67</v>
      </c>
      <c r="K2" s="195">
        <v>19175.7</v>
      </c>
      <c r="L2" s="238">
        <v>14213.06</v>
      </c>
      <c r="M2" s="205">
        <v>15169.53</v>
      </c>
      <c r="N2" s="212">
        <v>18815.990000000002</v>
      </c>
      <c r="O2" s="217">
        <v>16118.37</v>
      </c>
      <c r="P2" s="220">
        <v>30209.25</v>
      </c>
      <c r="Q2" s="280">
        <v>21910.33</v>
      </c>
      <c r="R2" s="173"/>
      <c r="S2" s="8">
        <f>+SUM(G2:R2)</f>
        <v>227422.49</v>
      </c>
      <c r="T2" s="1">
        <f>COUNT(G2:R2)</f>
        <v>11</v>
      </c>
      <c r="U2" s="31">
        <f>+IF(S2=0,0,S2/T2)</f>
        <v>20674.771818181816</v>
      </c>
    </row>
    <row r="3" spans="1:21" s="17" customFormat="1" ht="10.5">
      <c r="A3" s="1"/>
      <c r="B3" s="1"/>
      <c r="C3" s="4">
        <v>15037103</v>
      </c>
      <c r="D3" s="4"/>
      <c r="E3" s="1" t="s">
        <v>604</v>
      </c>
      <c r="F3" s="1" t="s">
        <v>499</v>
      </c>
      <c r="G3" s="180"/>
      <c r="H3" s="185"/>
      <c r="I3" s="233"/>
      <c r="J3" s="275"/>
      <c r="K3" s="196"/>
      <c r="L3" s="240"/>
      <c r="M3" s="206"/>
      <c r="N3" s="211"/>
      <c r="O3" s="218"/>
      <c r="P3" s="222"/>
      <c r="Q3" s="281"/>
      <c r="R3" s="172">
        <v>19084.759999999998</v>
      </c>
      <c r="S3" s="8">
        <f t="shared" ref="S3:S67" si="0">+SUM(G3:R3)</f>
        <v>19084.759999999998</v>
      </c>
      <c r="T3" s="1">
        <f t="shared" ref="T3:T67" si="1">COUNT(G3:R3)</f>
        <v>1</v>
      </c>
      <c r="U3" s="31">
        <f t="shared" ref="U3:U67" si="2">+IF(S3=0,0,S3/T3)</f>
        <v>19084.759999999998</v>
      </c>
    </row>
    <row r="4" spans="1:21">
      <c r="A4" s="1">
        <v>2</v>
      </c>
      <c r="B4" s="1" t="s">
        <v>531</v>
      </c>
      <c r="C4" s="4">
        <v>15002216</v>
      </c>
      <c r="D4" s="4"/>
      <c r="E4" s="1" t="s">
        <v>329</v>
      </c>
      <c r="F4" s="1" t="s">
        <v>329</v>
      </c>
      <c r="G4" s="47"/>
      <c r="H4" s="32"/>
      <c r="I4" s="32"/>
      <c r="J4" s="274">
        <v>77.52</v>
      </c>
      <c r="K4" s="297"/>
      <c r="L4" s="297"/>
      <c r="M4" s="297"/>
      <c r="N4" s="297"/>
      <c r="O4" s="297"/>
      <c r="P4" s="297"/>
      <c r="Q4" s="297"/>
      <c r="R4" s="297"/>
      <c r="S4" s="8">
        <f t="shared" si="0"/>
        <v>77.52</v>
      </c>
      <c r="T4" s="1">
        <f t="shared" si="1"/>
        <v>1</v>
      </c>
      <c r="U4" s="31">
        <f t="shared" si="2"/>
        <v>77.52</v>
      </c>
    </row>
    <row r="5" spans="1:21">
      <c r="B5" s="1" t="s">
        <v>532</v>
      </c>
      <c r="C5" s="4">
        <v>15031812</v>
      </c>
      <c r="D5" s="4"/>
      <c r="E5" s="1" t="s">
        <v>227</v>
      </c>
      <c r="F5" s="1" t="s">
        <v>227</v>
      </c>
      <c r="G5" s="271">
        <v>1991.89</v>
      </c>
      <c r="H5" s="184">
        <v>3402.72</v>
      </c>
      <c r="I5" s="229">
        <v>5337.25</v>
      </c>
      <c r="J5" s="274">
        <v>10598.55</v>
      </c>
      <c r="K5" s="195">
        <v>6095.91</v>
      </c>
      <c r="L5" s="238">
        <v>3945.5</v>
      </c>
      <c r="M5" s="205">
        <v>4890.91</v>
      </c>
      <c r="N5" s="212">
        <v>6451.21</v>
      </c>
      <c r="O5" s="217">
        <v>10153.64</v>
      </c>
      <c r="P5" s="220">
        <v>12293.18</v>
      </c>
      <c r="Q5" s="280">
        <v>8964.4699999999993</v>
      </c>
      <c r="R5" s="172">
        <v>8431.6200000000008</v>
      </c>
      <c r="S5" s="8">
        <f t="shared" si="0"/>
        <v>82556.849999999991</v>
      </c>
      <c r="T5" s="1">
        <f t="shared" si="1"/>
        <v>12</v>
      </c>
      <c r="U5" s="31">
        <f t="shared" si="2"/>
        <v>6879.7374999999993</v>
      </c>
    </row>
    <row r="6" spans="1:21">
      <c r="C6" s="4">
        <v>15037169</v>
      </c>
      <c r="D6" s="4"/>
      <c r="E6" s="1" t="s">
        <v>593</v>
      </c>
      <c r="F6" s="1" t="s">
        <v>592</v>
      </c>
      <c r="G6" s="180"/>
      <c r="H6" s="185"/>
      <c r="I6" s="233"/>
      <c r="J6" s="275"/>
      <c r="K6" s="196"/>
      <c r="L6" s="240"/>
      <c r="M6" s="206"/>
      <c r="N6" s="211"/>
      <c r="O6" s="218"/>
      <c r="P6" s="220">
        <v>1479.7</v>
      </c>
      <c r="Q6" s="280">
        <v>1616.94</v>
      </c>
      <c r="R6" s="172">
        <v>1358.57</v>
      </c>
      <c r="S6" s="8">
        <f t="shared" si="0"/>
        <v>4455.21</v>
      </c>
      <c r="T6" s="1">
        <f t="shared" si="1"/>
        <v>3</v>
      </c>
      <c r="U6" s="31">
        <f t="shared" si="2"/>
        <v>1485.07</v>
      </c>
    </row>
    <row r="7" spans="1:21">
      <c r="A7" s="1">
        <v>3</v>
      </c>
      <c r="B7" s="1" t="s">
        <v>533</v>
      </c>
      <c r="C7" s="4">
        <v>15008670</v>
      </c>
      <c r="D7" s="4">
        <v>117</v>
      </c>
      <c r="E7" s="1" t="s">
        <v>114</v>
      </c>
      <c r="F7" s="1" t="s">
        <v>114</v>
      </c>
      <c r="G7" s="179">
        <v>4476.29</v>
      </c>
      <c r="H7" s="184">
        <v>3490.28</v>
      </c>
      <c r="I7" s="229">
        <v>4306</v>
      </c>
      <c r="J7" s="274">
        <v>4597.42</v>
      </c>
      <c r="K7" s="195">
        <v>4117.6499999999996</v>
      </c>
      <c r="L7" s="238">
        <v>2731.03</v>
      </c>
      <c r="M7" s="205">
        <v>2446.6799999999998</v>
      </c>
      <c r="N7" s="212">
        <v>2715.16</v>
      </c>
      <c r="O7" s="217">
        <v>4303.99</v>
      </c>
      <c r="P7" s="220">
        <v>5345.96</v>
      </c>
      <c r="Q7" s="280">
        <v>5108.2700000000004</v>
      </c>
      <c r="R7" s="172">
        <v>4053.21</v>
      </c>
      <c r="S7" s="8">
        <f t="shared" si="0"/>
        <v>47691.939999999995</v>
      </c>
      <c r="T7" s="1">
        <f t="shared" si="1"/>
        <v>12</v>
      </c>
      <c r="U7" s="31">
        <f t="shared" si="2"/>
        <v>3974.3283333333329</v>
      </c>
    </row>
    <row r="8" spans="1:21">
      <c r="A8" s="1">
        <v>5</v>
      </c>
      <c r="B8" s="1" t="s">
        <v>534</v>
      </c>
      <c r="C8" s="4">
        <v>70000000</v>
      </c>
      <c r="D8" s="4">
        <v>89</v>
      </c>
      <c r="E8" s="1" t="s">
        <v>229</v>
      </c>
      <c r="F8" s="1" t="s">
        <v>229</v>
      </c>
      <c r="G8" s="179">
        <v>1115.99</v>
      </c>
      <c r="H8" s="184">
        <v>1182.08</v>
      </c>
      <c r="I8" s="229">
        <v>1105.54</v>
      </c>
      <c r="J8" s="274">
        <v>1186.0899999999999</v>
      </c>
      <c r="K8" s="195">
        <v>1248.06</v>
      </c>
      <c r="L8" s="238">
        <v>1083.3499999999999</v>
      </c>
      <c r="M8" s="205">
        <v>1196.19</v>
      </c>
      <c r="N8" s="212">
        <v>1095.48</v>
      </c>
      <c r="O8" s="217">
        <v>1180.44</v>
      </c>
      <c r="P8" s="220">
        <v>1246.92</v>
      </c>
      <c r="Q8" s="280">
        <v>1122.04</v>
      </c>
      <c r="R8" s="172">
        <v>1087.1099999999999</v>
      </c>
      <c r="S8" s="8">
        <f t="shared" si="0"/>
        <v>13849.29</v>
      </c>
      <c r="T8" s="1">
        <f t="shared" si="1"/>
        <v>12</v>
      </c>
      <c r="U8" s="31">
        <f t="shared" si="2"/>
        <v>1154.1075000000001</v>
      </c>
    </row>
    <row r="9" spans="1:21">
      <c r="B9" s="1" t="s">
        <v>543</v>
      </c>
      <c r="C9" s="4">
        <v>15032222</v>
      </c>
      <c r="D9" s="4"/>
      <c r="E9" s="1" t="s">
        <v>570</v>
      </c>
      <c r="F9" s="1" t="s">
        <v>518</v>
      </c>
      <c r="G9" s="271">
        <v>14899.92</v>
      </c>
      <c r="H9" s="184">
        <v>8630.77</v>
      </c>
      <c r="I9" s="229">
        <v>12660.74</v>
      </c>
      <c r="J9" s="274">
        <v>20762.310000000001</v>
      </c>
      <c r="K9" s="195">
        <v>9965.1299999999992</v>
      </c>
      <c r="L9" s="238">
        <v>4117.45</v>
      </c>
      <c r="M9" s="205">
        <v>6230</v>
      </c>
      <c r="N9" s="212">
        <v>12024.43</v>
      </c>
      <c r="O9" s="217">
        <v>14389.72</v>
      </c>
      <c r="P9" s="220">
        <v>26666.86</v>
      </c>
      <c r="Q9" s="280">
        <v>22593.13</v>
      </c>
      <c r="R9" s="172">
        <v>17222.57</v>
      </c>
      <c r="S9" s="8">
        <f t="shared" si="0"/>
        <v>170163.03</v>
      </c>
      <c r="T9" s="1">
        <f t="shared" si="1"/>
        <v>12</v>
      </c>
      <c r="U9" s="31">
        <f t="shared" si="2"/>
        <v>14180.252500000001</v>
      </c>
    </row>
    <row r="10" spans="1:21">
      <c r="A10" s="1">
        <v>6</v>
      </c>
      <c r="B10" s="1" t="s">
        <v>535</v>
      </c>
      <c r="C10" s="4">
        <v>7003201</v>
      </c>
      <c r="D10" s="4">
        <v>4130</v>
      </c>
      <c r="E10" s="1" t="s">
        <v>525</v>
      </c>
      <c r="F10" s="1" t="s">
        <v>385</v>
      </c>
      <c r="G10" s="179">
        <v>10260.08</v>
      </c>
      <c r="H10" s="184">
        <v>9846.15</v>
      </c>
      <c r="I10" s="229">
        <v>10061.27</v>
      </c>
      <c r="J10" s="274">
        <v>12028.94</v>
      </c>
      <c r="K10" s="195">
        <v>7948.45</v>
      </c>
      <c r="L10" s="238">
        <v>6264.09</v>
      </c>
      <c r="M10" s="205">
        <v>6624.05</v>
      </c>
      <c r="N10" s="212">
        <v>7488.15</v>
      </c>
      <c r="O10" s="217">
        <v>10017.209999999999</v>
      </c>
      <c r="P10" s="220">
        <v>11888.37</v>
      </c>
      <c r="Q10" s="280">
        <v>10680.96</v>
      </c>
      <c r="R10" s="172">
        <v>9324.14</v>
      </c>
      <c r="S10" s="8">
        <f t="shared" si="0"/>
        <v>112431.85999999997</v>
      </c>
      <c r="T10" s="1">
        <f t="shared" si="1"/>
        <v>12</v>
      </c>
      <c r="U10" s="31">
        <f t="shared" si="2"/>
        <v>9369.3216666666649</v>
      </c>
    </row>
    <row r="11" spans="1:21">
      <c r="A11" s="1">
        <v>7</v>
      </c>
      <c r="C11" s="4">
        <v>15019612</v>
      </c>
      <c r="D11" s="4"/>
      <c r="E11" s="1" t="s">
        <v>500</v>
      </c>
      <c r="F11" s="1" t="s">
        <v>500</v>
      </c>
      <c r="G11" s="181">
        <v>84</v>
      </c>
      <c r="H11" s="32"/>
      <c r="I11" s="229">
        <v>162</v>
      </c>
      <c r="J11" s="32"/>
      <c r="K11" s="32"/>
      <c r="L11" s="238">
        <v>39</v>
      </c>
      <c r="M11" s="32"/>
      <c r="N11" s="32"/>
      <c r="O11" s="172">
        <v>30</v>
      </c>
      <c r="P11" s="172">
        <v>60</v>
      </c>
      <c r="Q11" s="172">
        <v>60</v>
      </c>
      <c r="R11" s="229">
        <v>120</v>
      </c>
      <c r="S11" s="8">
        <f t="shared" si="0"/>
        <v>555</v>
      </c>
      <c r="T11" s="1">
        <f t="shared" si="1"/>
        <v>7</v>
      </c>
      <c r="U11" s="31">
        <f t="shared" si="2"/>
        <v>79.285714285714292</v>
      </c>
    </row>
    <row r="12" spans="1:21">
      <c r="A12" s="1">
        <v>8</v>
      </c>
      <c r="B12" s="1" t="s">
        <v>534</v>
      </c>
      <c r="C12" s="42">
        <v>7000200</v>
      </c>
      <c r="D12" s="42">
        <v>90</v>
      </c>
      <c r="E12" s="11" t="s">
        <v>230</v>
      </c>
      <c r="F12" s="11" t="s">
        <v>230</v>
      </c>
      <c r="G12" s="273">
        <v>1763.53</v>
      </c>
      <c r="H12" s="274">
        <v>1739.94</v>
      </c>
      <c r="I12" s="274">
        <v>1575.74</v>
      </c>
      <c r="J12" s="274">
        <v>1760.97</v>
      </c>
      <c r="K12" s="205">
        <v>1583.55</v>
      </c>
      <c r="L12" s="205">
        <v>1809.16</v>
      </c>
      <c r="M12" s="217">
        <v>1694.53</v>
      </c>
      <c r="N12" s="217">
        <v>1748.7</v>
      </c>
      <c r="O12" s="280">
        <v>1889.8</v>
      </c>
      <c r="P12" s="280">
        <v>1802.44</v>
      </c>
      <c r="Q12" s="181">
        <v>1739.95</v>
      </c>
      <c r="R12" s="181">
        <v>1929.98</v>
      </c>
      <c r="S12" s="8">
        <f t="shared" si="0"/>
        <v>21038.29</v>
      </c>
      <c r="T12" s="1">
        <f t="shared" si="1"/>
        <v>12</v>
      </c>
      <c r="U12" s="31">
        <f t="shared" si="2"/>
        <v>1753.1908333333333</v>
      </c>
    </row>
    <row r="13" spans="1:21">
      <c r="C13" s="42">
        <v>15005197</v>
      </c>
      <c r="D13" s="42"/>
      <c r="E13" s="11" t="s">
        <v>599</v>
      </c>
      <c r="F13" s="11" t="s">
        <v>600</v>
      </c>
      <c r="G13" s="180"/>
      <c r="H13" s="185"/>
      <c r="I13" s="233"/>
      <c r="J13" s="275"/>
      <c r="K13" s="196"/>
      <c r="L13" s="240"/>
      <c r="M13" s="206"/>
      <c r="N13" s="211"/>
      <c r="O13" s="218"/>
      <c r="P13" s="222"/>
      <c r="Q13" s="280">
        <v>129.87</v>
      </c>
      <c r="R13" s="32"/>
      <c r="S13" s="8">
        <f t="shared" si="0"/>
        <v>129.87</v>
      </c>
      <c r="T13" s="1">
        <f t="shared" si="1"/>
        <v>1</v>
      </c>
      <c r="U13" s="31">
        <f t="shared" si="2"/>
        <v>129.87</v>
      </c>
    </row>
    <row r="14" spans="1:21">
      <c r="A14" s="1">
        <v>9</v>
      </c>
      <c r="B14" s="1" t="s">
        <v>532</v>
      </c>
      <c r="C14" s="4">
        <v>7004400</v>
      </c>
      <c r="D14" s="4"/>
      <c r="E14" s="1" t="s">
        <v>231</v>
      </c>
      <c r="F14" s="1" t="s">
        <v>231</v>
      </c>
      <c r="G14" s="179">
        <v>6467.02</v>
      </c>
      <c r="H14" s="184">
        <v>4976.32</v>
      </c>
      <c r="I14" s="229">
        <v>4904.42</v>
      </c>
      <c r="J14" s="274">
        <v>9139.89</v>
      </c>
      <c r="K14" s="32"/>
      <c r="L14" s="238">
        <v>1466.81</v>
      </c>
      <c r="M14" s="212">
        <v>4673.3900000000003</v>
      </c>
      <c r="N14" s="211"/>
      <c r="O14" s="218"/>
      <c r="P14" s="222"/>
      <c r="Q14" s="281"/>
      <c r="R14" s="173"/>
      <c r="S14" s="8">
        <f t="shared" si="0"/>
        <v>31627.850000000002</v>
      </c>
      <c r="T14" s="1">
        <f t="shared" si="1"/>
        <v>6</v>
      </c>
      <c r="U14" s="31">
        <f t="shared" si="2"/>
        <v>5271.3083333333334</v>
      </c>
    </row>
    <row r="15" spans="1:21">
      <c r="A15" s="1">
        <v>10</v>
      </c>
      <c r="B15" s="1" t="s">
        <v>536</v>
      </c>
      <c r="C15" s="4">
        <v>7006700</v>
      </c>
      <c r="D15" s="4"/>
      <c r="E15" s="1" t="s">
        <v>232</v>
      </c>
      <c r="F15" s="1" t="s">
        <v>232</v>
      </c>
      <c r="G15" s="179">
        <v>5525.96</v>
      </c>
      <c r="H15" s="184">
        <v>4015.67</v>
      </c>
      <c r="I15" s="229">
        <v>3549.61</v>
      </c>
      <c r="J15" s="274">
        <v>5320.32</v>
      </c>
      <c r="K15" s="195">
        <v>3073.87</v>
      </c>
      <c r="L15" s="238">
        <v>2804.19</v>
      </c>
      <c r="M15" s="205">
        <v>2489.27</v>
      </c>
      <c r="N15" s="212">
        <v>3043.14</v>
      </c>
      <c r="O15" s="217">
        <v>4510.45</v>
      </c>
      <c r="P15" s="220">
        <v>6086.32</v>
      </c>
      <c r="Q15" s="280">
        <v>5792.26</v>
      </c>
      <c r="R15" s="172">
        <v>4748.88</v>
      </c>
      <c r="S15" s="8">
        <f t="shared" si="0"/>
        <v>50959.939999999995</v>
      </c>
      <c r="T15" s="1">
        <f t="shared" si="1"/>
        <v>12</v>
      </c>
      <c r="U15" s="31">
        <f t="shared" si="2"/>
        <v>4246.661666666666</v>
      </c>
    </row>
    <row r="16" spans="1:21">
      <c r="A16" s="1">
        <v>11</v>
      </c>
      <c r="B16" s="1" t="s">
        <v>532</v>
      </c>
      <c r="C16" s="4">
        <v>7007500</v>
      </c>
      <c r="D16" s="4">
        <v>95</v>
      </c>
      <c r="E16" s="1" t="s">
        <v>234</v>
      </c>
      <c r="F16" s="1" t="s">
        <v>234</v>
      </c>
      <c r="G16" s="179">
        <v>9183.35</v>
      </c>
      <c r="H16" s="184">
        <v>8006.64</v>
      </c>
      <c r="I16" s="229">
        <v>6596.1</v>
      </c>
      <c r="J16" s="274">
        <v>9141.18</v>
      </c>
      <c r="K16" s="195">
        <v>6865.4</v>
      </c>
      <c r="L16" s="238">
        <v>6134.62</v>
      </c>
      <c r="M16" s="205">
        <v>6244.49</v>
      </c>
      <c r="N16" s="212">
        <v>6097.01</v>
      </c>
      <c r="O16" s="217">
        <v>8341.02</v>
      </c>
      <c r="P16" s="220">
        <v>7136.53</v>
      </c>
      <c r="Q16" s="280">
        <v>7964.27</v>
      </c>
      <c r="R16" s="172">
        <v>7107.73</v>
      </c>
      <c r="S16" s="8">
        <f t="shared" si="0"/>
        <v>88818.340000000011</v>
      </c>
      <c r="T16" s="1">
        <f t="shared" si="1"/>
        <v>12</v>
      </c>
      <c r="U16" s="31">
        <f t="shared" si="2"/>
        <v>7401.5283333333346</v>
      </c>
    </row>
    <row r="17" spans="1:21">
      <c r="A17" s="1">
        <v>12</v>
      </c>
      <c r="B17" s="1" t="s">
        <v>535</v>
      </c>
      <c r="C17" s="4">
        <v>7005300</v>
      </c>
      <c r="D17" s="4">
        <v>96</v>
      </c>
      <c r="E17" s="1" t="s">
        <v>235</v>
      </c>
      <c r="F17" s="1" t="s">
        <v>235</v>
      </c>
      <c r="G17" s="179">
        <v>23129.919999999998</v>
      </c>
      <c r="H17" s="184">
        <v>19717.71</v>
      </c>
      <c r="I17" s="229">
        <v>20638.27</v>
      </c>
      <c r="J17" s="274">
        <v>30334.28</v>
      </c>
      <c r="K17" s="195">
        <v>17110.86</v>
      </c>
      <c r="L17" s="238">
        <v>9438.31</v>
      </c>
      <c r="M17" s="205">
        <v>12120.78</v>
      </c>
      <c r="N17" s="212">
        <v>13712.55</v>
      </c>
      <c r="O17" s="217">
        <v>19171.23</v>
      </c>
      <c r="P17" s="220">
        <v>27640.26</v>
      </c>
      <c r="Q17" s="280">
        <v>22364.58</v>
      </c>
      <c r="R17" s="172">
        <v>17625.25</v>
      </c>
      <c r="S17" s="8">
        <f t="shared" si="0"/>
        <v>233004</v>
      </c>
      <c r="T17" s="1">
        <f t="shared" si="1"/>
        <v>12</v>
      </c>
      <c r="U17" s="31">
        <f t="shared" si="2"/>
        <v>19417</v>
      </c>
    </row>
    <row r="18" spans="1:21">
      <c r="A18" s="1">
        <v>13</v>
      </c>
      <c r="B18" s="1" t="s">
        <v>530</v>
      </c>
      <c r="C18" s="4">
        <v>15021222</v>
      </c>
      <c r="D18" s="4">
        <v>97</v>
      </c>
      <c r="E18" s="1" t="s">
        <v>503</v>
      </c>
      <c r="F18" s="1" t="s">
        <v>503</v>
      </c>
      <c r="G18" s="179">
        <v>17955.98</v>
      </c>
      <c r="H18" s="184">
        <v>16101.17</v>
      </c>
      <c r="I18" s="229">
        <v>15813.36</v>
      </c>
      <c r="J18" s="274">
        <v>21134.73</v>
      </c>
      <c r="K18" s="195">
        <v>14632.08</v>
      </c>
      <c r="L18" s="238">
        <v>11611.8</v>
      </c>
      <c r="M18" s="205">
        <v>13219.73</v>
      </c>
      <c r="N18" s="212">
        <v>12796.16</v>
      </c>
      <c r="O18" s="218"/>
      <c r="P18" s="222"/>
      <c r="Q18" s="281"/>
      <c r="R18" s="173"/>
      <c r="S18" s="8">
        <f t="shared" si="0"/>
        <v>123265.01000000001</v>
      </c>
      <c r="T18" s="1">
        <f t="shared" si="1"/>
        <v>8</v>
      </c>
      <c r="U18" s="31">
        <f t="shared" si="2"/>
        <v>15408.126250000001</v>
      </c>
    </row>
    <row r="19" spans="1:21">
      <c r="B19" s="1" t="s">
        <v>530</v>
      </c>
      <c r="C19" s="4">
        <v>15036315</v>
      </c>
      <c r="D19" s="4">
        <v>97</v>
      </c>
      <c r="E19" s="1" t="s">
        <v>503</v>
      </c>
      <c r="F19" s="1" t="s">
        <v>503</v>
      </c>
      <c r="G19" s="180"/>
      <c r="H19" s="185"/>
      <c r="I19" s="233"/>
      <c r="J19" s="275"/>
      <c r="K19" s="196"/>
      <c r="L19" s="240"/>
      <c r="M19" s="206"/>
      <c r="N19" s="212">
        <v>1171.3</v>
      </c>
      <c r="O19" s="217">
        <v>17328.11</v>
      </c>
      <c r="P19" s="220">
        <v>21555.3</v>
      </c>
      <c r="Q19" s="280">
        <v>17082.36</v>
      </c>
      <c r="R19" s="172">
        <v>16731.990000000002</v>
      </c>
      <c r="S19" s="8">
        <f t="shared" si="0"/>
        <v>73869.06</v>
      </c>
      <c r="T19" s="1">
        <f t="shared" si="1"/>
        <v>5</v>
      </c>
      <c r="U19" s="31">
        <f t="shared" si="2"/>
        <v>14773.812</v>
      </c>
    </row>
    <row r="20" spans="1:21">
      <c r="A20" s="1">
        <v>15</v>
      </c>
      <c r="B20" s="1" t="s">
        <v>537</v>
      </c>
      <c r="C20" s="4">
        <v>15026269</v>
      </c>
      <c r="D20" s="4"/>
      <c r="E20" s="1" t="s">
        <v>504</v>
      </c>
      <c r="F20" s="1" t="s">
        <v>504</v>
      </c>
      <c r="G20" s="179">
        <v>19559.55</v>
      </c>
      <c r="H20" s="184">
        <v>18446.580000000002</v>
      </c>
      <c r="I20" s="229">
        <v>20495.21</v>
      </c>
      <c r="J20" s="274">
        <v>26468.43</v>
      </c>
      <c r="K20" s="195">
        <v>17151.28</v>
      </c>
      <c r="L20" s="238">
        <v>13707.41</v>
      </c>
      <c r="M20" s="205">
        <v>14860.97</v>
      </c>
      <c r="N20" s="211"/>
      <c r="O20" s="218"/>
      <c r="P20" s="222"/>
      <c r="Q20" s="281"/>
      <c r="R20" s="173"/>
      <c r="S20" s="8">
        <f t="shared" si="0"/>
        <v>130689.43000000001</v>
      </c>
      <c r="T20" s="1">
        <f t="shared" si="1"/>
        <v>7</v>
      </c>
      <c r="U20" s="31">
        <f t="shared" si="2"/>
        <v>18669.918571428574</v>
      </c>
    </row>
    <row r="21" spans="1:21">
      <c r="B21" s="1" t="s">
        <v>537</v>
      </c>
      <c r="C21" s="4">
        <v>15036832</v>
      </c>
      <c r="D21" s="4"/>
      <c r="E21" s="1" t="s">
        <v>504</v>
      </c>
      <c r="F21" s="1" t="s">
        <v>504</v>
      </c>
      <c r="G21" s="180"/>
      <c r="H21" s="185"/>
      <c r="I21" s="233"/>
      <c r="J21" s="275"/>
      <c r="K21" s="196"/>
      <c r="L21" s="240"/>
      <c r="M21" s="206"/>
      <c r="N21" s="212">
        <v>15532.64</v>
      </c>
      <c r="O21" s="217">
        <v>19922.23</v>
      </c>
      <c r="P21" s="220">
        <v>24953.17</v>
      </c>
      <c r="Q21" s="280">
        <v>20712.990000000002</v>
      </c>
      <c r="R21" s="172">
        <v>18515.37</v>
      </c>
      <c r="S21" s="8">
        <f t="shared" si="0"/>
        <v>99636.4</v>
      </c>
      <c r="T21" s="1">
        <f t="shared" si="1"/>
        <v>5</v>
      </c>
      <c r="U21" s="31">
        <f t="shared" si="2"/>
        <v>19927.28</v>
      </c>
    </row>
    <row r="22" spans="1:21">
      <c r="A22" s="1">
        <v>16</v>
      </c>
      <c r="B22" s="1" t="s">
        <v>538</v>
      </c>
      <c r="C22" s="4">
        <v>7002000</v>
      </c>
      <c r="D22" s="4"/>
      <c r="E22" s="1" t="s">
        <v>237</v>
      </c>
      <c r="F22" s="1" t="s">
        <v>505</v>
      </c>
      <c r="G22" s="179">
        <v>9612.67</v>
      </c>
      <c r="H22" s="184">
        <v>7692.78</v>
      </c>
      <c r="I22" s="229">
        <v>8374.7900000000009</v>
      </c>
      <c r="J22" s="274">
        <v>8888.39</v>
      </c>
      <c r="K22" s="195">
        <v>5642.87</v>
      </c>
      <c r="L22" s="238">
        <v>4768.6899999999996</v>
      </c>
      <c r="M22" s="205">
        <v>2661.98</v>
      </c>
      <c r="N22" s="212">
        <v>4787.1499999999996</v>
      </c>
      <c r="O22" s="217">
        <v>9165.7800000000007</v>
      </c>
      <c r="P22" s="220">
        <v>8737.83</v>
      </c>
      <c r="Q22" s="280">
        <v>7260.66</v>
      </c>
      <c r="R22" s="172">
        <v>10121.870000000001</v>
      </c>
      <c r="S22" s="8">
        <f t="shared" si="0"/>
        <v>87715.46</v>
      </c>
      <c r="T22" s="1">
        <f t="shared" si="1"/>
        <v>12</v>
      </c>
      <c r="U22" s="31">
        <f t="shared" si="2"/>
        <v>7309.6216666666669</v>
      </c>
    </row>
    <row r="23" spans="1:21">
      <c r="A23" s="1">
        <v>17</v>
      </c>
      <c r="B23" s="1" t="s">
        <v>536</v>
      </c>
      <c r="C23" s="4">
        <v>15007853</v>
      </c>
      <c r="D23" s="4"/>
      <c r="E23" s="1" t="s">
        <v>238</v>
      </c>
      <c r="F23" s="1" t="s">
        <v>238</v>
      </c>
      <c r="G23" s="179">
        <v>3979.4</v>
      </c>
      <c r="H23" s="184">
        <v>3504.81</v>
      </c>
      <c r="I23" s="229">
        <v>3087.06</v>
      </c>
      <c r="J23" s="274">
        <v>4497.38</v>
      </c>
      <c r="K23" s="195">
        <v>2465.02</v>
      </c>
      <c r="L23" s="238">
        <v>1918.1</v>
      </c>
      <c r="M23" s="205">
        <v>2115.5100000000002</v>
      </c>
      <c r="N23" s="212">
        <v>2227.9699999999998</v>
      </c>
      <c r="O23" s="32"/>
      <c r="P23" s="280">
        <v>4658.2299999999996</v>
      </c>
      <c r="Q23" s="172">
        <v>3947.09</v>
      </c>
      <c r="R23" s="172">
        <v>3317.56</v>
      </c>
      <c r="S23" s="8">
        <f t="shared" si="0"/>
        <v>35718.129999999997</v>
      </c>
      <c r="T23" s="1">
        <f t="shared" si="1"/>
        <v>11</v>
      </c>
      <c r="U23" s="31">
        <f t="shared" si="2"/>
        <v>3247.102727272727</v>
      </c>
    </row>
    <row r="24" spans="1:21">
      <c r="A24" s="1">
        <v>18</v>
      </c>
      <c r="B24" s="1" t="s">
        <v>539</v>
      </c>
      <c r="C24" s="4">
        <v>7000700</v>
      </c>
      <c r="D24" s="4">
        <v>99</v>
      </c>
      <c r="E24" s="1" t="s">
        <v>239</v>
      </c>
      <c r="F24" s="1" t="s">
        <v>239</v>
      </c>
      <c r="G24" s="179">
        <v>615</v>
      </c>
      <c r="H24" s="184">
        <v>603</v>
      </c>
      <c r="I24" s="229">
        <v>609</v>
      </c>
      <c r="J24" s="274">
        <v>615</v>
      </c>
      <c r="K24" s="195">
        <v>606</v>
      </c>
      <c r="L24" s="238">
        <v>603</v>
      </c>
      <c r="M24" s="205">
        <v>598.5</v>
      </c>
      <c r="N24" s="212">
        <v>601.5</v>
      </c>
      <c r="O24" s="217">
        <v>603</v>
      </c>
      <c r="P24" s="220">
        <v>604.5</v>
      </c>
      <c r="Q24" s="280">
        <v>606</v>
      </c>
      <c r="R24" s="172">
        <v>612</v>
      </c>
      <c r="S24" s="8">
        <f t="shared" si="0"/>
        <v>7276.5</v>
      </c>
      <c r="T24" s="1">
        <f t="shared" si="1"/>
        <v>12</v>
      </c>
      <c r="U24" s="31">
        <f t="shared" si="2"/>
        <v>606.375</v>
      </c>
    </row>
    <row r="25" spans="1:21">
      <c r="A25" s="1">
        <v>19</v>
      </c>
      <c r="B25" s="1" t="s">
        <v>536</v>
      </c>
      <c r="C25" s="4">
        <v>15010839</v>
      </c>
      <c r="D25" s="4"/>
      <c r="E25" s="1" t="s">
        <v>300</v>
      </c>
      <c r="F25" s="1" t="s">
        <v>300</v>
      </c>
      <c r="G25" s="179">
        <v>16154.94</v>
      </c>
      <c r="H25" s="184">
        <v>13622.81</v>
      </c>
      <c r="I25" s="229">
        <v>11926.87</v>
      </c>
      <c r="J25" s="274">
        <v>12797.08</v>
      </c>
      <c r="K25" s="195">
        <v>7917.11</v>
      </c>
      <c r="L25" s="238">
        <v>4589.8999999999996</v>
      </c>
      <c r="M25" s="205">
        <v>4281.03</v>
      </c>
      <c r="N25" s="212">
        <v>5155.51</v>
      </c>
      <c r="O25" s="217">
        <v>8692.89</v>
      </c>
      <c r="P25" s="220">
        <v>14384.85</v>
      </c>
      <c r="Q25" s="280">
        <v>11581.32</v>
      </c>
      <c r="R25" s="172">
        <v>11075.5</v>
      </c>
      <c r="S25" s="8">
        <f t="shared" si="0"/>
        <v>122179.81</v>
      </c>
      <c r="T25" s="1">
        <f t="shared" si="1"/>
        <v>12</v>
      </c>
      <c r="U25" s="31">
        <f t="shared" si="2"/>
        <v>10181.650833333333</v>
      </c>
    </row>
    <row r="26" spans="1:21">
      <c r="A26" s="1">
        <v>20</v>
      </c>
      <c r="B26" s="1" t="s">
        <v>533</v>
      </c>
      <c r="C26" s="4">
        <v>15005502</v>
      </c>
      <c r="D26" s="4">
        <v>137</v>
      </c>
      <c r="E26" s="1" t="s">
        <v>597</v>
      </c>
      <c r="F26" s="1" t="s">
        <v>506</v>
      </c>
      <c r="G26" s="179">
        <v>26733.62</v>
      </c>
      <c r="H26" s="184">
        <v>26788.02</v>
      </c>
      <c r="I26" s="229">
        <v>25472.28</v>
      </c>
      <c r="J26" s="274">
        <v>39991.980000000003</v>
      </c>
      <c r="K26" s="195">
        <v>26842.92</v>
      </c>
      <c r="L26" s="238">
        <v>21514.86</v>
      </c>
      <c r="M26" s="205">
        <v>20304.36</v>
      </c>
      <c r="N26" s="280">
        <v>22696.44</v>
      </c>
      <c r="O26" s="217">
        <v>27358.799999999999</v>
      </c>
      <c r="P26" s="220">
        <v>34841.339999999997</v>
      </c>
      <c r="Q26" s="280">
        <v>30870.720000000001</v>
      </c>
      <c r="R26" s="172">
        <v>26084.1</v>
      </c>
      <c r="S26" s="8">
        <f t="shared" si="0"/>
        <v>329499.43999999994</v>
      </c>
      <c r="T26" s="1">
        <f t="shared" si="1"/>
        <v>12</v>
      </c>
      <c r="U26" s="31">
        <f t="shared" si="2"/>
        <v>27458.286666666663</v>
      </c>
    </row>
    <row r="27" spans="1:21">
      <c r="A27" s="1">
        <v>21</v>
      </c>
      <c r="B27" s="1" t="s">
        <v>536</v>
      </c>
      <c r="C27" s="4">
        <v>7000800</v>
      </c>
      <c r="D27" s="4">
        <v>100</v>
      </c>
      <c r="E27" s="1" t="s">
        <v>241</v>
      </c>
      <c r="F27" s="1" t="s">
        <v>241</v>
      </c>
      <c r="G27" s="179">
        <v>3863.44</v>
      </c>
      <c r="H27" s="184">
        <v>3919.86</v>
      </c>
      <c r="I27" s="229">
        <v>3386.44</v>
      </c>
      <c r="J27" s="274">
        <v>3983.62</v>
      </c>
      <c r="K27" s="195">
        <v>2498.7800000000002</v>
      </c>
      <c r="L27" s="238">
        <v>2020.23</v>
      </c>
      <c r="M27" s="205">
        <v>2175.42</v>
      </c>
      <c r="N27" s="212">
        <v>2524.13</v>
      </c>
      <c r="O27" s="217">
        <v>3529.59</v>
      </c>
      <c r="P27" s="220">
        <v>4219.1499999999996</v>
      </c>
      <c r="Q27" s="280">
        <v>4131.25</v>
      </c>
      <c r="R27" s="172">
        <v>4093.28</v>
      </c>
      <c r="S27" s="8">
        <f t="shared" si="0"/>
        <v>40345.19</v>
      </c>
      <c r="T27" s="1">
        <f t="shared" si="1"/>
        <v>12</v>
      </c>
      <c r="U27" s="31">
        <f t="shared" si="2"/>
        <v>3362.0991666666669</v>
      </c>
    </row>
    <row r="28" spans="1:21">
      <c r="A28" s="1">
        <v>79</v>
      </c>
      <c r="B28" s="1" t="s">
        <v>539</v>
      </c>
      <c r="C28" s="4">
        <v>15033786</v>
      </c>
      <c r="D28" s="4"/>
      <c r="E28" s="1" t="s">
        <v>563</v>
      </c>
      <c r="F28" s="1" t="s">
        <v>563</v>
      </c>
      <c r="G28" s="271">
        <v>268.98</v>
      </c>
      <c r="H28" s="274">
        <v>301.92</v>
      </c>
      <c r="I28" s="274">
        <v>764.34</v>
      </c>
      <c r="J28" s="274">
        <v>1432.38</v>
      </c>
      <c r="K28" s="274">
        <v>382.29</v>
      </c>
      <c r="L28" s="32"/>
      <c r="M28" s="32"/>
      <c r="N28" s="32"/>
      <c r="O28" s="32"/>
      <c r="P28" s="172">
        <v>1416.78</v>
      </c>
      <c r="Q28" s="172">
        <v>1067.58</v>
      </c>
      <c r="R28" s="172">
        <v>462.3</v>
      </c>
      <c r="S28" s="8">
        <f t="shared" si="0"/>
        <v>6096.5700000000006</v>
      </c>
      <c r="T28" s="1">
        <f t="shared" si="1"/>
        <v>8</v>
      </c>
      <c r="U28" s="31">
        <f t="shared" si="2"/>
        <v>762.07125000000008</v>
      </c>
    </row>
    <row r="29" spans="1:21">
      <c r="A29" s="1">
        <v>22</v>
      </c>
      <c r="B29" s="1" t="s">
        <v>540</v>
      </c>
      <c r="C29" s="42">
        <v>7008100</v>
      </c>
      <c r="D29" s="42">
        <v>140</v>
      </c>
      <c r="E29" s="11" t="s">
        <v>259</v>
      </c>
      <c r="F29" s="11" t="s">
        <v>384</v>
      </c>
      <c r="G29" s="179">
        <v>47061.11</v>
      </c>
      <c r="H29" s="184">
        <v>34629.800000000003</v>
      </c>
      <c r="I29" s="229">
        <v>46290.91</v>
      </c>
      <c r="J29" s="274">
        <v>49613.81</v>
      </c>
      <c r="K29" s="195">
        <v>31827.95</v>
      </c>
      <c r="L29" s="238">
        <v>22767.94</v>
      </c>
      <c r="M29" s="205">
        <v>27238.07</v>
      </c>
      <c r="N29" s="212">
        <v>28833.08</v>
      </c>
      <c r="O29" s="217">
        <v>43283.12</v>
      </c>
      <c r="P29" s="220">
        <v>50365</v>
      </c>
      <c r="Q29" s="280">
        <v>41549.839999999997</v>
      </c>
      <c r="R29" s="172">
        <v>41511.51</v>
      </c>
      <c r="S29" s="8">
        <f t="shared" si="0"/>
        <v>464972.14</v>
      </c>
      <c r="T29" s="1">
        <f t="shared" si="1"/>
        <v>12</v>
      </c>
      <c r="U29" s="31">
        <f t="shared" si="2"/>
        <v>38747.678333333337</v>
      </c>
    </row>
    <row r="30" spans="1:21">
      <c r="A30" s="1">
        <v>23</v>
      </c>
      <c r="B30" s="1" t="s">
        <v>541</v>
      </c>
      <c r="C30" s="4">
        <v>7007200</v>
      </c>
      <c r="D30" s="4">
        <v>102</v>
      </c>
      <c r="E30" s="1" t="s">
        <v>242</v>
      </c>
      <c r="F30" s="1" t="s">
        <v>242</v>
      </c>
      <c r="G30" s="179">
        <v>7525.4</v>
      </c>
      <c r="H30" s="184">
        <v>6808.92</v>
      </c>
      <c r="I30" s="229">
        <v>7165.16</v>
      </c>
      <c r="J30" s="274">
        <v>8517.08</v>
      </c>
      <c r="K30" s="195">
        <v>5805.66</v>
      </c>
      <c r="L30" s="238">
        <v>3809.12</v>
      </c>
      <c r="M30" s="205">
        <v>4847.66</v>
      </c>
      <c r="N30" s="212">
        <v>4922.55</v>
      </c>
      <c r="O30" s="217">
        <v>6265.11</v>
      </c>
      <c r="P30" s="220">
        <v>7961</v>
      </c>
      <c r="Q30" s="280">
        <v>6623.25</v>
      </c>
      <c r="R30" s="172">
        <v>5855.85</v>
      </c>
      <c r="S30" s="8">
        <f t="shared" si="0"/>
        <v>76106.760000000009</v>
      </c>
      <c r="T30" s="1">
        <f t="shared" si="1"/>
        <v>12</v>
      </c>
      <c r="U30" s="31">
        <f t="shared" si="2"/>
        <v>6342.2300000000005</v>
      </c>
    </row>
    <row r="31" spans="1:21">
      <c r="A31" s="1">
        <v>24</v>
      </c>
      <c r="B31" s="1" t="s">
        <v>540</v>
      </c>
      <c r="C31" s="4">
        <v>15006827</v>
      </c>
      <c r="D31" s="4">
        <v>4124</v>
      </c>
      <c r="E31" s="1" t="s">
        <v>598</v>
      </c>
      <c r="F31" s="1" t="s">
        <v>344</v>
      </c>
      <c r="G31" s="179">
        <v>22600.26</v>
      </c>
      <c r="H31" s="184">
        <v>17823.900000000001</v>
      </c>
      <c r="I31" s="229">
        <v>16899.48</v>
      </c>
      <c r="J31" s="274">
        <v>23196</v>
      </c>
      <c r="K31" s="195">
        <v>14175.12</v>
      </c>
      <c r="L31" s="238">
        <v>9396.9</v>
      </c>
      <c r="M31" s="205">
        <v>11030.16</v>
      </c>
      <c r="N31" s="212">
        <v>11511.12</v>
      </c>
      <c r="O31" s="217">
        <v>16087.74</v>
      </c>
      <c r="P31" s="220">
        <v>22536.959999999999</v>
      </c>
      <c r="Q31" s="280">
        <v>19706.7</v>
      </c>
      <c r="R31" s="172">
        <v>18078.66</v>
      </c>
      <c r="S31" s="8">
        <f t="shared" si="0"/>
        <v>203043</v>
      </c>
      <c r="T31" s="1">
        <f t="shared" si="1"/>
        <v>12</v>
      </c>
      <c r="U31" s="31">
        <f t="shared" si="2"/>
        <v>16920.25</v>
      </c>
    </row>
    <row r="32" spans="1:21" ht="10.5" thickBot="1">
      <c r="A32" s="1">
        <v>25</v>
      </c>
      <c r="B32" s="1" t="s">
        <v>540</v>
      </c>
      <c r="C32" s="4">
        <v>15031377</v>
      </c>
      <c r="D32" s="4"/>
      <c r="E32" s="1" t="s">
        <v>497</v>
      </c>
      <c r="F32" s="1" t="s">
        <v>497</v>
      </c>
      <c r="G32" s="180"/>
      <c r="H32" s="185"/>
      <c r="I32" s="233"/>
      <c r="J32" s="288"/>
      <c r="K32" s="196"/>
      <c r="L32" s="294"/>
      <c r="M32" s="206"/>
      <c r="N32" s="211"/>
      <c r="O32" s="218"/>
      <c r="P32" s="222"/>
      <c r="Q32" s="281"/>
      <c r="R32" s="308"/>
      <c r="S32" s="8">
        <f t="shared" si="0"/>
        <v>0</v>
      </c>
      <c r="T32" s="1">
        <f t="shared" si="1"/>
        <v>0</v>
      </c>
      <c r="U32" s="31">
        <f t="shared" si="2"/>
        <v>0</v>
      </c>
    </row>
    <row r="33" spans="1:21" ht="11" thickTop="1" thickBot="1">
      <c r="A33" s="1">
        <v>44</v>
      </c>
      <c r="B33" s="1" t="s">
        <v>540</v>
      </c>
      <c r="C33" s="4">
        <v>15031377</v>
      </c>
      <c r="D33" s="4"/>
      <c r="E33" s="1" t="s">
        <v>513</v>
      </c>
      <c r="F33" s="1" t="s">
        <v>513</v>
      </c>
      <c r="G33" s="179">
        <v>13321.01</v>
      </c>
      <c r="H33" s="184">
        <v>9617.84</v>
      </c>
      <c r="I33" s="286">
        <v>8058.09</v>
      </c>
      <c r="J33" s="287">
        <f>5500+1475+5500+5500</f>
        <v>17975</v>
      </c>
      <c r="K33" s="293">
        <v>4439.7</v>
      </c>
      <c r="L33" s="295">
        <f>1475.51+4963.79+536.21</f>
        <v>6975.51</v>
      </c>
      <c r="M33" s="238">
        <f>5500+1981.59</f>
        <v>7481.59</v>
      </c>
      <c r="N33" s="238">
        <v>5500</v>
      </c>
      <c r="O33" s="311">
        <v>5500</v>
      </c>
      <c r="P33" s="315">
        <f>5500+5500+5500+5500</f>
        <v>22000</v>
      </c>
      <c r="Q33" s="327">
        <f>5500+5500+5500+5500+5500</f>
        <v>27500</v>
      </c>
      <c r="R33" s="309">
        <f>1603.83+5500</f>
        <v>7103.83</v>
      </c>
      <c r="S33" s="8">
        <f t="shared" si="0"/>
        <v>135472.57</v>
      </c>
      <c r="T33" s="1">
        <f t="shared" si="1"/>
        <v>12</v>
      </c>
      <c r="U33" s="31">
        <f t="shared" si="2"/>
        <v>11289.380833333335</v>
      </c>
    </row>
    <row r="34" spans="1:21" ht="10.5" thickTop="1">
      <c r="A34" s="1">
        <v>26</v>
      </c>
      <c r="B34" s="1" t="s">
        <v>531</v>
      </c>
      <c r="C34" s="4">
        <v>15004535</v>
      </c>
      <c r="D34" s="4">
        <v>124</v>
      </c>
      <c r="E34" s="1" t="s">
        <v>571</v>
      </c>
      <c r="F34" s="1" t="s">
        <v>112</v>
      </c>
      <c r="G34" s="179">
        <v>1944.12</v>
      </c>
      <c r="H34" s="184">
        <v>3493.14</v>
      </c>
      <c r="I34" s="229">
        <v>3124.8</v>
      </c>
      <c r="J34" s="274">
        <v>3161.24</v>
      </c>
      <c r="K34" s="285">
        <v>1633.14</v>
      </c>
      <c r="L34" s="238">
        <v>1875.89</v>
      </c>
      <c r="M34" s="205">
        <v>1144.68</v>
      </c>
      <c r="N34" s="212">
        <v>1934.94</v>
      </c>
      <c r="O34" s="217">
        <v>2256.13</v>
      </c>
      <c r="P34" s="220">
        <v>2461.3200000000002</v>
      </c>
      <c r="Q34" s="280">
        <v>2292.38</v>
      </c>
      <c r="R34" s="172">
        <v>1656.93</v>
      </c>
      <c r="S34" s="8">
        <f t="shared" si="0"/>
        <v>26978.710000000003</v>
      </c>
      <c r="T34" s="1">
        <f t="shared" si="1"/>
        <v>12</v>
      </c>
      <c r="U34" s="31">
        <f t="shared" si="2"/>
        <v>2248.2258333333334</v>
      </c>
    </row>
    <row r="35" spans="1:21">
      <c r="A35" s="1">
        <v>84</v>
      </c>
      <c r="C35" s="4">
        <v>15029987</v>
      </c>
      <c r="D35" s="4"/>
      <c r="E35" s="1" t="s">
        <v>577</v>
      </c>
      <c r="F35" s="1" t="s">
        <v>578</v>
      </c>
      <c r="G35" s="248">
        <f>67.44+67.44</f>
        <v>134.88</v>
      </c>
      <c r="H35" s="217">
        <v>30.75</v>
      </c>
      <c r="I35" s="217">
        <v>87.9</v>
      </c>
      <c r="J35" s="217">
        <v>201.92</v>
      </c>
      <c r="K35" s="217">
        <v>170.21</v>
      </c>
      <c r="L35" s="217">
        <v>85.02</v>
      </c>
      <c r="M35" s="205"/>
      <c r="N35" s="217">
        <v>54</v>
      </c>
      <c r="O35" s="217">
        <v>97.5</v>
      </c>
      <c r="P35" s="220">
        <v>222.6</v>
      </c>
      <c r="Q35" s="280">
        <v>218.7</v>
      </c>
      <c r="R35" s="172">
        <v>106.5</v>
      </c>
      <c r="S35" s="8">
        <f t="shared" si="0"/>
        <v>1409.98</v>
      </c>
      <c r="T35" s="1">
        <f t="shared" si="1"/>
        <v>11</v>
      </c>
      <c r="U35" s="31">
        <f t="shared" si="2"/>
        <v>128.18</v>
      </c>
    </row>
    <row r="36" spans="1:21">
      <c r="A36" s="1">
        <v>80</v>
      </c>
      <c r="B36" s="1" t="s">
        <v>532</v>
      </c>
      <c r="C36" s="4">
        <v>7008400</v>
      </c>
      <c r="D36" s="4"/>
      <c r="E36" s="1" t="s">
        <v>565</v>
      </c>
      <c r="F36" s="1" t="s">
        <v>565</v>
      </c>
      <c r="G36" s="180"/>
      <c r="H36" s="185"/>
      <c r="I36" s="233"/>
      <c r="J36" s="274">
        <v>4174.1099999999997</v>
      </c>
      <c r="K36" s="195">
        <v>2238.35</v>
      </c>
      <c r="L36" s="238">
        <v>1516.02</v>
      </c>
      <c r="M36" s="205">
        <v>1376.93</v>
      </c>
      <c r="N36" s="212">
        <v>1675.39</v>
      </c>
      <c r="O36" s="217">
        <v>1872.88</v>
      </c>
      <c r="P36" s="220">
        <v>2091.35</v>
      </c>
      <c r="Q36" s="280">
        <v>2325.62</v>
      </c>
      <c r="R36" s="181">
        <v>3238.87</v>
      </c>
      <c r="S36" s="8">
        <f t="shared" si="0"/>
        <v>20509.52</v>
      </c>
      <c r="T36" s="1">
        <f t="shared" si="1"/>
        <v>9</v>
      </c>
      <c r="U36" s="31">
        <f t="shared" si="2"/>
        <v>2278.8355555555554</v>
      </c>
    </row>
    <row r="37" spans="1:21">
      <c r="A37" s="1">
        <v>59</v>
      </c>
      <c r="B37" s="1" t="s">
        <v>532</v>
      </c>
      <c r="C37" s="4">
        <v>7008400</v>
      </c>
      <c r="D37" s="4">
        <v>209</v>
      </c>
      <c r="E37" s="1" t="s">
        <v>271</v>
      </c>
      <c r="F37" s="1" t="s">
        <v>271</v>
      </c>
      <c r="G37" s="179">
        <v>3655.57</v>
      </c>
      <c r="H37" s="184">
        <v>3167.78</v>
      </c>
      <c r="I37" s="229">
        <v>2580.88</v>
      </c>
      <c r="J37" s="275"/>
      <c r="K37" s="196"/>
      <c r="L37" s="240"/>
      <c r="M37" s="206"/>
      <c r="N37" s="211"/>
      <c r="O37" s="218"/>
      <c r="P37" s="222"/>
      <c r="Q37" s="281"/>
      <c r="R37" s="173"/>
      <c r="S37" s="8">
        <f t="shared" si="0"/>
        <v>9404.23</v>
      </c>
      <c r="T37" s="1">
        <f t="shared" si="1"/>
        <v>3</v>
      </c>
      <c r="U37" s="31">
        <f t="shared" si="2"/>
        <v>3134.7433333333333</v>
      </c>
    </row>
    <row r="38" spans="1:21">
      <c r="C38" s="4">
        <v>15036295</v>
      </c>
      <c r="D38" s="4"/>
      <c r="E38" s="1" t="s">
        <v>572</v>
      </c>
      <c r="F38" s="1" t="s">
        <v>582</v>
      </c>
      <c r="G38" s="180"/>
      <c r="H38" s="185"/>
      <c r="I38" s="233"/>
      <c r="J38" s="275"/>
      <c r="K38" s="196"/>
      <c r="L38" s="240"/>
      <c r="M38" s="205">
        <v>666.89</v>
      </c>
      <c r="N38" s="32"/>
      <c r="O38" s="32"/>
      <c r="P38" s="220">
        <v>360</v>
      </c>
      <c r="Q38" s="32"/>
      <c r="R38" s="32"/>
      <c r="S38" s="8">
        <f t="shared" si="0"/>
        <v>1026.8899999999999</v>
      </c>
      <c r="T38" s="1">
        <f t="shared" si="1"/>
        <v>2</v>
      </c>
      <c r="U38" s="31">
        <f t="shared" si="2"/>
        <v>513.44499999999994</v>
      </c>
    </row>
    <row r="39" spans="1:21">
      <c r="A39" s="1">
        <v>28</v>
      </c>
      <c r="B39" s="1" t="s">
        <v>532</v>
      </c>
      <c r="C39" s="4">
        <v>15007588</v>
      </c>
      <c r="D39" s="4"/>
      <c r="E39" s="1" t="s">
        <v>512</v>
      </c>
      <c r="F39" s="1" t="s">
        <v>512</v>
      </c>
      <c r="G39" s="179">
        <v>22970.32</v>
      </c>
      <c r="H39" s="184">
        <v>19879.22</v>
      </c>
      <c r="I39" s="229">
        <v>18911.96</v>
      </c>
      <c r="J39" s="274">
        <v>26887.759999999998</v>
      </c>
      <c r="K39" s="195">
        <v>17977.64</v>
      </c>
      <c r="L39" s="238">
        <v>13756.99</v>
      </c>
      <c r="M39" s="205">
        <v>14512.66</v>
      </c>
      <c r="N39" s="212">
        <v>14337.89</v>
      </c>
      <c r="O39" s="217">
        <v>19723.599999999999</v>
      </c>
      <c r="P39" s="220">
        <v>24964.79</v>
      </c>
      <c r="Q39" s="280">
        <v>20847.61</v>
      </c>
      <c r="R39" s="172">
        <v>20576.84</v>
      </c>
      <c r="S39" s="8">
        <f t="shared" si="0"/>
        <v>235347.28</v>
      </c>
      <c r="T39" s="1">
        <f t="shared" si="1"/>
        <v>12</v>
      </c>
      <c r="U39" s="31">
        <f t="shared" si="2"/>
        <v>19612.273333333334</v>
      </c>
    </row>
    <row r="40" spans="1:21">
      <c r="A40" s="1">
        <v>29</v>
      </c>
      <c r="B40" s="1" t="s">
        <v>531</v>
      </c>
      <c r="C40" s="4">
        <v>7003500</v>
      </c>
      <c r="D40" s="4">
        <v>136</v>
      </c>
      <c r="E40" s="1" t="s">
        <v>350</v>
      </c>
      <c r="F40" s="1" t="s">
        <v>350</v>
      </c>
      <c r="G40" s="179">
        <v>63873.05</v>
      </c>
      <c r="H40" s="184">
        <v>55817.04</v>
      </c>
      <c r="I40" s="229">
        <v>63497.94</v>
      </c>
      <c r="J40" s="274">
        <v>84130.74</v>
      </c>
      <c r="K40" s="195">
        <v>59721.42</v>
      </c>
      <c r="L40" s="238">
        <v>40703.46</v>
      </c>
      <c r="M40" s="205">
        <v>46291.08</v>
      </c>
      <c r="N40" s="212">
        <v>48279.18</v>
      </c>
      <c r="O40" s="217">
        <v>66266.399999999994</v>
      </c>
      <c r="P40" s="220">
        <v>82161.960000000006</v>
      </c>
      <c r="Q40" s="280">
        <v>71366.94</v>
      </c>
      <c r="R40" s="172">
        <v>65130.6</v>
      </c>
      <c r="S40" s="8">
        <f t="shared" si="0"/>
        <v>747239.80999999994</v>
      </c>
      <c r="T40" s="1">
        <f t="shared" si="1"/>
        <v>12</v>
      </c>
      <c r="U40" s="31">
        <f t="shared" si="2"/>
        <v>62269.984166666662</v>
      </c>
    </row>
    <row r="41" spans="1:21">
      <c r="A41" s="1">
        <v>30</v>
      </c>
      <c r="B41" s="1" t="s">
        <v>530</v>
      </c>
      <c r="C41" s="4">
        <v>15031776</v>
      </c>
      <c r="D41" s="4"/>
      <c r="E41" s="1" t="s">
        <v>517</v>
      </c>
      <c r="F41" s="1" t="s">
        <v>517</v>
      </c>
      <c r="G41" s="271">
        <v>18904.919999999998</v>
      </c>
      <c r="H41" s="184">
        <v>12781.14</v>
      </c>
      <c r="I41" s="229">
        <v>9841.4699999999993</v>
      </c>
      <c r="J41" s="274">
        <v>18861.900000000001</v>
      </c>
      <c r="K41" s="195">
        <v>10286.61</v>
      </c>
      <c r="L41" s="238">
        <v>7649.89</v>
      </c>
      <c r="M41" s="205">
        <v>8614.65</v>
      </c>
      <c r="N41" s="212">
        <v>11731.08</v>
      </c>
      <c r="O41" s="184">
        <v>14270.22</v>
      </c>
      <c r="P41" s="220">
        <v>20531.7</v>
      </c>
      <c r="Q41" s="280">
        <v>17029.91</v>
      </c>
      <c r="R41" s="172">
        <v>15043.14</v>
      </c>
      <c r="S41" s="8">
        <f t="shared" si="0"/>
        <v>165546.63</v>
      </c>
      <c r="T41" s="1">
        <f t="shared" si="1"/>
        <v>12</v>
      </c>
      <c r="U41" s="31">
        <f t="shared" si="2"/>
        <v>13795.5525</v>
      </c>
    </row>
    <row r="42" spans="1:21">
      <c r="A42" s="1">
        <v>31</v>
      </c>
      <c r="B42" s="1" t="s">
        <v>541</v>
      </c>
      <c r="C42" s="4">
        <v>7001700</v>
      </c>
      <c r="D42" s="4">
        <v>130</v>
      </c>
      <c r="E42" s="1" t="s">
        <v>248</v>
      </c>
      <c r="F42" s="1" t="s">
        <v>248</v>
      </c>
      <c r="G42" s="179">
        <v>32914.26</v>
      </c>
      <c r="H42" s="184">
        <v>29957.279999999999</v>
      </c>
      <c r="I42" s="229">
        <v>29845.08</v>
      </c>
      <c r="J42" s="274">
        <v>40809.9</v>
      </c>
      <c r="K42" s="195">
        <v>29029.26</v>
      </c>
      <c r="L42" s="238">
        <v>23014.62</v>
      </c>
      <c r="M42" s="205">
        <v>24672.36</v>
      </c>
      <c r="N42" s="212">
        <v>23939.1</v>
      </c>
      <c r="O42" s="217">
        <v>27616.26</v>
      </c>
      <c r="P42" s="220">
        <v>38620.92</v>
      </c>
      <c r="Q42" s="280">
        <v>35025.360000000001</v>
      </c>
      <c r="R42" s="172">
        <v>28441.26</v>
      </c>
      <c r="S42" s="8">
        <f t="shared" si="0"/>
        <v>363885.66000000003</v>
      </c>
      <c r="T42" s="1">
        <f t="shared" si="1"/>
        <v>12</v>
      </c>
      <c r="U42" s="31">
        <f t="shared" si="2"/>
        <v>30323.805000000004</v>
      </c>
    </row>
    <row r="43" spans="1:21">
      <c r="A43" s="1">
        <v>32</v>
      </c>
      <c r="B43" s="1" t="s">
        <v>542</v>
      </c>
      <c r="C43" s="4">
        <v>15006999</v>
      </c>
      <c r="D43" s="4"/>
      <c r="E43" s="1" t="s">
        <v>527</v>
      </c>
      <c r="F43" s="1" t="s">
        <v>507</v>
      </c>
      <c r="G43" s="179">
        <v>15598.39</v>
      </c>
      <c r="H43" s="184">
        <f>13731.66</f>
        <v>13731.66</v>
      </c>
      <c r="I43" s="229">
        <v>14263.3</v>
      </c>
      <c r="J43" s="274">
        <v>17121.36</v>
      </c>
      <c r="K43" s="195">
        <v>12081.67</v>
      </c>
      <c r="L43" s="238">
        <v>10542.35</v>
      </c>
      <c r="M43" s="205">
        <v>10424.08</v>
      </c>
      <c r="N43" s="212">
        <v>11901.93</v>
      </c>
      <c r="O43" s="217">
        <v>14080.85</v>
      </c>
      <c r="P43" s="220">
        <v>16771.009999999998</v>
      </c>
      <c r="Q43" s="282">
        <v>15388.76</v>
      </c>
      <c r="R43" s="172">
        <v>12619.63</v>
      </c>
      <c r="S43" s="8">
        <f t="shared" si="0"/>
        <v>164524.99000000005</v>
      </c>
      <c r="T43" s="1">
        <f t="shared" si="1"/>
        <v>12</v>
      </c>
      <c r="U43" s="31">
        <f t="shared" si="2"/>
        <v>13710.415833333338</v>
      </c>
    </row>
    <row r="44" spans="1:21">
      <c r="A44" s="1">
        <v>33</v>
      </c>
      <c r="B44" s="1" t="s">
        <v>543</v>
      </c>
      <c r="C44" s="4">
        <v>7009500</v>
      </c>
      <c r="D44" s="4"/>
      <c r="E44" s="1" t="s">
        <v>515</v>
      </c>
      <c r="F44" s="1" t="s">
        <v>515</v>
      </c>
      <c r="G44" s="179">
        <v>19289.939999999999</v>
      </c>
      <c r="H44" s="184">
        <v>17493.419999999998</v>
      </c>
      <c r="I44" s="229">
        <v>16355.37</v>
      </c>
      <c r="J44" s="274">
        <v>21976.18</v>
      </c>
      <c r="K44" s="195">
        <v>15026.95</v>
      </c>
      <c r="L44" s="238">
        <v>11855.92</v>
      </c>
      <c r="M44" s="205">
        <v>13788.49</v>
      </c>
      <c r="N44" s="212">
        <v>13009.25</v>
      </c>
      <c r="O44" s="217">
        <v>16599.45</v>
      </c>
      <c r="P44" s="220">
        <v>19899.59</v>
      </c>
      <c r="Q44" s="280">
        <v>17270.849999999999</v>
      </c>
      <c r="R44" s="172">
        <v>15922.4</v>
      </c>
      <c r="S44" s="8">
        <f t="shared" si="0"/>
        <v>198487.81</v>
      </c>
      <c r="T44" s="1">
        <f t="shared" si="1"/>
        <v>12</v>
      </c>
      <c r="U44" s="31">
        <f t="shared" si="2"/>
        <v>16540.650833333333</v>
      </c>
    </row>
    <row r="45" spans="1:21">
      <c r="C45" s="42">
        <v>15037924</v>
      </c>
      <c r="D45" s="42"/>
      <c r="E45" s="11" t="s">
        <v>601</v>
      </c>
      <c r="F45" s="11" t="s">
        <v>601</v>
      </c>
      <c r="G45" s="180"/>
      <c r="H45" s="185"/>
      <c r="I45" s="233"/>
      <c r="J45" s="275"/>
      <c r="K45" s="196"/>
      <c r="L45" s="240"/>
      <c r="M45" s="206"/>
      <c r="N45" s="211"/>
      <c r="O45" s="218"/>
      <c r="P45" s="222"/>
      <c r="Q45" s="280">
        <v>5243.7</v>
      </c>
      <c r="R45" s="172">
        <v>11465.09</v>
      </c>
      <c r="S45" s="8">
        <f t="shared" si="0"/>
        <v>16708.79</v>
      </c>
      <c r="T45" s="1">
        <f t="shared" si="1"/>
        <v>2</v>
      </c>
      <c r="U45" s="31">
        <f t="shared" si="2"/>
        <v>8354.3950000000004</v>
      </c>
    </row>
    <row r="46" spans="1:21">
      <c r="A46" s="1">
        <v>34</v>
      </c>
      <c r="B46" s="1" t="s">
        <v>541</v>
      </c>
      <c r="C46" s="4">
        <v>7009200</v>
      </c>
      <c r="D46" s="4">
        <v>569</v>
      </c>
      <c r="E46" s="1" t="s">
        <v>516</v>
      </c>
      <c r="F46" s="1" t="s">
        <v>516</v>
      </c>
      <c r="G46" s="179">
        <v>15022.11</v>
      </c>
      <c r="H46" s="184">
        <v>14057.04</v>
      </c>
      <c r="I46" s="274">
        <v>13655.43</v>
      </c>
      <c r="J46" s="276">
        <v>18689.82</v>
      </c>
      <c r="K46" s="195">
        <v>12273.89</v>
      </c>
      <c r="L46" s="220">
        <v>9652.4599999999991</v>
      </c>
      <c r="M46" s="220">
        <v>11605.25</v>
      </c>
      <c r="N46" s="220">
        <v>12539.81</v>
      </c>
      <c r="O46" s="217">
        <v>15211.42</v>
      </c>
      <c r="P46" s="280">
        <v>17920.02</v>
      </c>
      <c r="Q46" s="280">
        <v>16423.48</v>
      </c>
      <c r="R46" s="172">
        <v>15038.35</v>
      </c>
      <c r="S46" s="8">
        <f t="shared" si="0"/>
        <v>172089.08000000002</v>
      </c>
      <c r="T46" s="1">
        <f t="shared" si="1"/>
        <v>12</v>
      </c>
      <c r="U46" s="31">
        <f t="shared" si="2"/>
        <v>14340.756666666668</v>
      </c>
    </row>
    <row r="47" spans="1:21">
      <c r="A47" s="1">
        <v>35</v>
      </c>
      <c r="B47" s="1" t="s">
        <v>530</v>
      </c>
      <c r="C47" s="4">
        <v>7009900</v>
      </c>
      <c r="D47" s="4">
        <v>3583</v>
      </c>
      <c r="E47" s="1" t="s">
        <v>105</v>
      </c>
      <c r="F47" s="1" t="s">
        <v>105</v>
      </c>
      <c r="G47" s="179">
        <v>17848.43</v>
      </c>
      <c r="H47" s="184">
        <v>13869.08</v>
      </c>
      <c r="I47" s="229">
        <v>13777.16</v>
      </c>
      <c r="J47" s="274">
        <v>19825.55</v>
      </c>
      <c r="K47" s="195">
        <v>13114.07</v>
      </c>
      <c r="L47" s="238">
        <v>10825.11</v>
      </c>
      <c r="M47" s="205">
        <v>11281.48</v>
      </c>
      <c r="N47" s="212">
        <v>11970.11</v>
      </c>
      <c r="O47" s="217">
        <v>13579.92</v>
      </c>
      <c r="P47" s="220">
        <f>10858.89+8560.69</f>
        <v>19419.580000000002</v>
      </c>
      <c r="Q47" s="280">
        <v>16599.32</v>
      </c>
      <c r="R47" s="173"/>
      <c r="S47" s="8">
        <f t="shared" si="0"/>
        <v>162109.81</v>
      </c>
      <c r="T47" s="1">
        <f t="shared" si="1"/>
        <v>11</v>
      </c>
      <c r="U47" s="31">
        <f t="shared" si="2"/>
        <v>14737.255454545455</v>
      </c>
    </row>
    <row r="48" spans="1:21">
      <c r="C48" s="4">
        <v>15037322</v>
      </c>
      <c r="D48" s="4"/>
      <c r="E48" s="1" t="s">
        <v>105</v>
      </c>
      <c r="F48" s="1" t="s">
        <v>105</v>
      </c>
      <c r="G48" s="180"/>
      <c r="H48" s="185"/>
      <c r="I48" s="233"/>
      <c r="J48" s="275"/>
      <c r="K48" s="196"/>
      <c r="L48" s="240"/>
      <c r="M48" s="206"/>
      <c r="N48" s="211"/>
      <c r="O48" s="218"/>
      <c r="P48" s="222"/>
      <c r="Q48" s="281"/>
      <c r="R48" s="172">
        <v>15666.12</v>
      </c>
      <c r="S48" s="8">
        <f>+SUM(G48:R48)</f>
        <v>15666.12</v>
      </c>
      <c r="T48" s="1">
        <f>COUNT(G48:R48)</f>
        <v>1</v>
      </c>
      <c r="U48" s="31">
        <f>+IF(S48=0,0,S48/T48)</f>
        <v>15666.12</v>
      </c>
    </row>
    <row r="49" spans="1:21">
      <c r="A49" s="1">
        <v>36</v>
      </c>
      <c r="B49" s="1" t="s">
        <v>532</v>
      </c>
      <c r="C49" s="4">
        <v>15030829</v>
      </c>
      <c r="D49" s="4"/>
      <c r="E49" s="1" t="s">
        <v>484</v>
      </c>
      <c r="F49" s="1" t="s">
        <v>529</v>
      </c>
      <c r="G49" s="179">
        <v>8538.0300000000007</v>
      </c>
      <c r="H49" s="184">
        <v>6981.36</v>
      </c>
      <c r="I49" s="229">
        <v>6010.22</v>
      </c>
      <c r="J49" s="274">
        <v>7680.52</v>
      </c>
      <c r="K49" s="195">
        <v>5163.97</v>
      </c>
      <c r="L49" s="238">
        <v>4002.92</v>
      </c>
      <c r="M49" s="205">
        <v>4437.96</v>
      </c>
      <c r="N49" s="212">
        <v>4655.0600000000004</v>
      </c>
      <c r="O49" s="217">
        <v>6621.9</v>
      </c>
      <c r="P49" s="220">
        <v>7864.41</v>
      </c>
      <c r="Q49" s="280">
        <v>7225.05</v>
      </c>
      <c r="R49" s="172">
        <v>7528.88</v>
      </c>
      <c r="S49" s="8">
        <f t="shared" si="0"/>
        <v>76710.28</v>
      </c>
      <c r="T49" s="1">
        <f t="shared" si="1"/>
        <v>12</v>
      </c>
      <c r="U49" s="31">
        <f t="shared" si="2"/>
        <v>6392.5233333333335</v>
      </c>
    </row>
    <row r="50" spans="1:21">
      <c r="A50" s="1">
        <v>37</v>
      </c>
      <c r="B50" s="1" t="s">
        <v>531</v>
      </c>
      <c r="C50" s="4">
        <v>7002100</v>
      </c>
      <c r="D50" s="4">
        <v>645</v>
      </c>
      <c r="E50" s="1" t="s">
        <v>253</v>
      </c>
      <c r="F50" s="1" t="s">
        <v>253</v>
      </c>
      <c r="G50" s="179">
        <v>60834.42</v>
      </c>
      <c r="H50" s="184">
        <v>50160</v>
      </c>
      <c r="I50" s="229">
        <v>58410.96</v>
      </c>
      <c r="J50" s="274">
        <v>79911.06</v>
      </c>
      <c r="K50" s="195">
        <v>32477.82</v>
      </c>
      <c r="L50" s="238">
        <v>34055.46</v>
      </c>
      <c r="M50" s="206"/>
      <c r="N50" s="211"/>
      <c r="O50" s="218"/>
      <c r="P50" s="222"/>
      <c r="Q50" s="281"/>
      <c r="R50" s="173"/>
      <c r="S50" s="8">
        <f t="shared" si="0"/>
        <v>315849.72000000003</v>
      </c>
      <c r="T50" s="1">
        <f t="shared" si="1"/>
        <v>6</v>
      </c>
      <c r="U50" s="31">
        <f t="shared" si="2"/>
        <v>52641.62</v>
      </c>
    </row>
    <row r="51" spans="1:21">
      <c r="C51" s="4">
        <v>15035829</v>
      </c>
      <c r="D51" s="4"/>
      <c r="E51" s="1" t="s">
        <v>567</v>
      </c>
      <c r="F51" s="1" t="s">
        <v>253</v>
      </c>
      <c r="G51" s="180"/>
      <c r="H51" s="185"/>
      <c r="I51" s="233"/>
      <c r="J51" s="275"/>
      <c r="K51" s="195">
        <v>28126.38</v>
      </c>
      <c r="L51" s="238"/>
      <c r="M51" s="205">
        <v>41587.760000000002</v>
      </c>
      <c r="N51" s="212">
        <v>47439.78</v>
      </c>
      <c r="O51" s="217">
        <v>57841.36</v>
      </c>
      <c r="P51" s="220">
        <v>80554.03</v>
      </c>
      <c r="Q51" s="280">
        <v>56986.7</v>
      </c>
      <c r="R51" s="172">
        <v>59308.27</v>
      </c>
      <c r="S51" s="8">
        <f t="shared" si="0"/>
        <v>371844.28</v>
      </c>
      <c r="T51" s="1">
        <f t="shared" si="1"/>
        <v>7</v>
      </c>
      <c r="U51" s="31">
        <f t="shared" si="2"/>
        <v>53120.611428571436</v>
      </c>
    </row>
    <row r="52" spans="1:21">
      <c r="A52" s="1">
        <v>38</v>
      </c>
      <c r="B52" s="1" t="s">
        <v>543</v>
      </c>
      <c r="C52" s="4">
        <v>15020999</v>
      </c>
      <c r="D52" s="4">
        <v>132</v>
      </c>
      <c r="E52" s="1" t="s">
        <v>528</v>
      </c>
      <c r="F52" s="1" t="s">
        <v>498</v>
      </c>
      <c r="G52" s="179">
        <v>2472.3000000000002</v>
      </c>
      <c r="H52" s="184">
        <v>2237.71</v>
      </c>
      <c r="I52" s="229">
        <v>2557.16</v>
      </c>
      <c r="J52" s="274">
        <v>2196.98</v>
      </c>
      <c r="K52" s="195">
        <v>1578.24</v>
      </c>
      <c r="L52" s="238">
        <v>1872.84</v>
      </c>
      <c r="M52" s="205">
        <v>1706.52</v>
      </c>
      <c r="N52" s="212">
        <v>1573.14</v>
      </c>
      <c r="O52" s="217">
        <v>2057.12</v>
      </c>
      <c r="P52" s="220">
        <v>2052.08</v>
      </c>
      <c r="Q52" s="280">
        <v>2188.58</v>
      </c>
      <c r="R52" s="172">
        <v>1872.14</v>
      </c>
      <c r="S52" s="8">
        <f t="shared" si="0"/>
        <v>24364.809999999998</v>
      </c>
      <c r="T52" s="1">
        <f t="shared" si="1"/>
        <v>12</v>
      </c>
      <c r="U52" s="31">
        <f t="shared" si="2"/>
        <v>2030.4008333333331</v>
      </c>
    </row>
    <row r="53" spans="1:21">
      <c r="C53" s="4">
        <v>15037912</v>
      </c>
      <c r="D53" s="4"/>
      <c r="E53" s="1" t="s">
        <v>583</v>
      </c>
      <c r="F53" s="1" t="s">
        <v>584</v>
      </c>
      <c r="G53" s="180"/>
      <c r="H53" s="185"/>
      <c r="I53" s="233"/>
      <c r="J53" s="275"/>
      <c r="K53" s="196"/>
      <c r="L53" s="240"/>
      <c r="M53" s="206"/>
      <c r="N53" s="220">
        <v>108.33</v>
      </c>
      <c r="O53" s="220">
        <v>69</v>
      </c>
      <c r="P53" s="220">
        <v>137.94999999999999</v>
      </c>
      <c r="Q53" s="32"/>
      <c r="R53" s="32"/>
      <c r="S53" s="8">
        <f t="shared" si="0"/>
        <v>315.27999999999997</v>
      </c>
      <c r="T53" s="1">
        <f t="shared" si="1"/>
        <v>3</v>
      </c>
      <c r="U53" s="31">
        <f t="shared" si="2"/>
        <v>105.09333333333332</v>
      </c>
    </row>
    <row r="54" spans="1:21">
      <c r="A54" s="1">
        <v>39</v>
      </c>
      <c r="B54" s="1" t="s">
        <v>540</v>
      </c>
      <c r="C54" s="4">
        <v>7002501</v>
      </c>
      <c r="D54" s="4"/>
      <c r="E54" s="1" t="s">
        <v>594</v>
      </c>
      <c r="F54" s="1" t="s">
        <v>508</v>
      </c>
      <c r="G54" s="179">
        <v>3702</v>
      </c>
      <c r="H54" s="184">
        <v>3536</v>
      </c>
      <c r="I54" s="229">
        <v>3183</v>
      </c>
      <c r="J54" s="274">
        <v>3455</v>
      </c>
      <c r="K54" s="195">
        <v>2234</v>
      </c>
      <c r="L54" s="238">
        <v>1888</v>
      </c>
      <c r="M54" s="205">
        <v>1814</v>
      </c>
      <c r="N54" s="212">
        <v>1830</v>
      </c>
      <c r="O54" s="217">
        <v>2329</v>
      </c>
      <c r="P54" s="220">
        <v>2996</v>
      </c>
      <c r="Q54" s="280">
        <v>3451</v>
      </c>
      <c r="R54" s="172">
        <v>3219</v>
      </c>
      <c r="S54" s="8">
        <f t="shared" si="0"/>
        <v>33637</v>
      </c>
      <c r="T54" s="1">
        <f t="shared" si="1"/>
        <v>12</v>
      </c>
      <c r="U54" s="31">
        <f t="shared" si="2"/>
        <v>2803.0833333333335</v>
      </c>
    </row>
    <row r="55" spans="1:21">
      <c r="A55" s="1">
        <v>40</v>
      </c>
      <c r="B55" s="1" t="s">
        <v>536</v>
      </c>
      <c r="C55" s="4">
        <v>7008200</v>
      </c>
      <c r="D55" s="4"/>
      <c r="E55" s="1" t="s">
        <v>276</v>
      </c>
      <c r="F55" s="1" t="s">
        <v>347</v>
      </c>
      <c r="G55" s="181">
        <v>9847.9500000000007</v>
      </c>
      <c r="H55" s="184">
        <v>8568.7199999999993</v>
      </c>
      <c r="I55" s="229">
        <v>7515</v>
      </c>
      <c r="J55" s="274">
        <v>10194.120000000001</v>
      </c>
      <c r="K55" s="195">
        <v>7137.79</v>
      </c>
      <c r="L55" s="238">
        <v>6241.65</v>
      </c>
      <c r="M55" s="205">
        <v>6224.6</v>
      </c>
      <c r="N55" s="212">
        <v>6301.83</v>
      </c>
      <c r="O55" s="217">
        <v>8258.36</v>
      </c>
      <c r="P55" s="220">
        <v>10819.11</v>
      </c>
      <c r="Q55" s="280">
        <v>9877.36</v>
      </c>
      <c r="R55" s="172">
        <v>9058.0400000000009</v>
      </c>
      <c r="S55" s="8">
        <f t="shared" si="0"/>
        <v>100044.53</v>
      </c>
      <c r="T55" s="1">
        <f t="shared" si="1"/>
        <v>12</v>
      </c>
      <c r="U55" s="31">
        <f t="shared" si="2"/>
        <v>8337.0441666666666</v>
      </c>
    </row>
    <row r="56" spans="1:21">
      <c r="A56" s="1">
        <v>41</v>
      </c>
      <c r="B56" s="1" t="s">
        <v>540</v>
      </c>
      <c r="C56" s="4">
        <v>7002600</v>
      </c>
      <c r="D56" s="4"/>
      <c r="E56" s="1" t="s">
        <v>509</v>
      </c>
      <c r="F56" s="1" t="s">
        <v>509</v>
      </c>
      <c r="G56" s="179">
        <v>16332.16</v>
      </c>
      <c r="H56" s="184">
        <v>13512.44</v>
      </c>
      <c r="I56" s="229">
        <v>10875.9</v>
      </c>
      <c r="J56" s="195">
        <v>16028.19</v>
      </c>
      <c r="K56" s="195">
        <v>7694.42</v>
      </c>
      <c r="L56" s="238">
        <v>4404.03</v>
      </c>
      <c r="M56" s="205">
        <v>4154.72</v>
      </c>
      <c r="N56" s="212">
        <v>4492.9799999999996</v>
      </c>
      <c r="O56" s="217">
        <v>8780.3799999999992</v>
      </c>
      <c r="P56" s="220">
        <v>13059.71</v>
      </c>
      <c r="Q56" s="280">
        <v>12555.69</v>
      </c>
      <c r="R56" s="172">
        <v>11001.89</v>
      </c>
      <c r="S56" s="8">
        <f t="shared" si="0"/>
        <v>122892.51</v>
      </c>
      <c r="T56" s="1">
        <f t="shared" si="1"/>
        <v>12</v>
      </c>
      <c r="U56" s="31">
        <f t="shared" si="2"/>
        <v>10241.0425</v>
      </c>
    </row>
    <row r="57" spans="1:21">
      <c r="A57" s="1">
        <v>42</v>
      </c>
      <c r="B57" s="1" t="s">
        <v>537</v>
      </c>
      <c r="C57" s="4">
        <v>7007600</v>
      </c>
      <c r="D57" s="4"/>
      <c r="E57" s="1" t="s">
        <v>258</v>
      </c>
      <c r="F57" s="1" t="s">
        <v>258</v>
      </c>
      <c r="G57" s="179">
        <v>9969.06</v>
      </c>
      <c r="H57" s="184">
        <v>9065.81</v>
      </c>
      <c r="I57" s="229">
        <v>10250.59</v>
      </c>
      <c r="J57" s="274">
        <v>14350.7</v>
      </c>
      <c r="K57" s="195">
        <v>9071.16</v>
      </c>
      <c r="L57" s="238">
        <v>6155.8</v>
      </c>
      <c r="M57" s="205">
        <v>7874.7</v>
      </c>
      <c r="N57" s="212">
        <v>6779.86</v>
      </c>
      <c r="O57" s="217">
        <v>10162.84</v>
      </c>
      <c r="P57" s="220">
        <v>12406.59</v>
      </c>
      <c r="Q57" s="280">
        <v>9797.75</v>
      </c>
      <c r="R57" s="172">
        <v>10082.02</v>
      </c>
      <c r="S57" s="8">
        <f t="shared" si="0"/>
        <v>115966.88</v>
      </c>
      <c r="T57" s="1">
        <f t="shared" si="1"/>
        <v>12</v>
      </c>
      <c r="U57" s="31">
        <f t="shared" si="2"/>
        <v>9663.9066666666677</v>
      </c>
    </row>
    <row r="58" spans="1:21">
      <c r="A58" s="1">
        <v>43</v>
      </c>
      <c r="B58" s="1" t="s">
        <v>537</v>
      </c>
      <c r="C58" s="4">
        <v>7006200</v>
      </c>
      <c r="D58" s="4"/>
      <c r="E58" s="1" t="s">
        <v>520</v>
      </c>
      <c r="F58" s="1" t="s">
        <v>520</v>
      </c>
      <c r="G58" s="179">
        <v>10658.39</v>
      </c>
      <c r="H58" s="184">
        <v>9487.6200000000008</v>
      </c>
      <c r="I58" s="229">
        <v>1652.59</v>
      </c>
      <c r="J58" s="275"/>
      <c r="K58" s="196"/>
      <c r="L58" s="240"/>
      <c r="M58" s="206"/>
      <c r="N58" s="211"/>
      <c r="O58" s="218"/>
      <c r="P58" s="222"/>
      <c r="Q58" s="281"/>
      <c r="R58" s="173"/>
      <c r="S58" s="8">
        <f t="shared" si="0"/>
        <v>21798.600000000002</v>
      </c>
      <c r="T58" s="1">
        <f t="shared" si="1"/>
        <v>3</v>
      </c>
      <c r="U58" s="31">
        <f t="shared" si="2"/>
        <v>7266.2000000000007</v>
      </c>
    </row>
    <row r="59" spans="1:21">
      <c r="C59" s="4">
        <v>15036833</v>
      </c>
      <c r="D59" s="4"/>
      <c r="E59" s="1" t="s">
        <v>591</v>
      </c>
      <c r="F59" s="1" t="s">
        <v>591</v>
      </c>
      <c r="G59" s="180"/>
      <c r="H59" s="185"/>
      <c r="I59" s="233"/>
      <c r="J59" s="275"/>
      <c r="K59" s="196"/>
      <c r="L59" s="240"/>
      <c r="M59" s="206"/>
      <c r="N59" s="211"/>
      <c r="O59" s="218"/>
      <c r="P59" s="220">
        <v>93.11</v>
      </c>
      <c r="Q59" s="280">
        <v>8599.82</v>
      </c>
      <c r="R59" s="172">
        <v>8350.48</v>
      </c>
      <c r="S59" s="8">
        <f t="shared" si="0"/>
        <v>17043.41</v>
      </c>
      <c r="T59" s="1">
        <f t="shared" si="1"/>
        <v>3</v>
      </c>
      <c r="U59" s="31">
        <f t="shared" si="2"/>
        <v>5681.1366666666663</v>
      </c>
    </row>
    <row r="60" spans="1:21">
      <c r="A60" s="1">
        <v>27</v>
      </c>
      <c r="B60" s="1" t="s">
        <v>537</v>
      </c>
      <c r="C60" s="4">
        <v>7006300</v>
      </c>
      <c r="D60" s="4"/>
      <c r="E60" s="1" t="s">
        <v>261</v>
      </c>
      <c r="F60" s="1" t="s">
        <v>261</v>
      </c>
      <c r="G60" s="179">
        <v>12823.75</v>
      </c>
      <c r="H60" s="184">
        <v>11482.52</v>
      </c>
      <c r="I60" s="229">
        <v>11987.18</v>
      </c>
      <c r="J60" s="274">
        <v>15624.06</v>
      </c>
      <c r="K60" s="195">
        <v>10304.35</v>
      </c>
      <c r="L60" s="238">
        <v>5736.04</v>
      </c>
      <c r="M60" s="205">
        <v>5355.34</v>
      </c>
      <c r="N60" s="212">
        <v>7726.61</v>
      </c>
      <c r="O60" s="217">
        <v>11293.87</v>
      </c>
      <c r="P60" s="220">
        <v>15620.8</v>
      </c>
      <c r="Q60" s="280">
        <v>11160.51</v>
      </c>
      <c r="R60" s="172">
        <v>9946.0300000000007</v>
      </c>
      <c r="S60" s="8">
        <f t="shared" si="0"/>
        <v>129061.05999999998</v>
      </c>
      <c r="T60" s="1">
        <f t="shared" si="1"/>
        <v>12</v>
      </c>
      <c r="U60" s="31">
        <f t="shared" si="2"/>
        <v>10755.088333333331</v>
      </c>
    </row>
    <row r="61" spans="1:21">
      <c r="A61" s="1">
        <v>45</v>
      </c>
      <c r="B61" s="1" t="s">
        <v>544</v>
      </c>
      <c r="C61" s="4">
        <v>15018015</v>
      </c>
      <c r="D61" s="4">
        <v>131</v>
      </c>
      <c r="E61" s="1" t="s">
        <v>481</v>
      </c>
      <c r="F61" s="1" t="s">
        <v>481</v>
      </c>
      <c r="G61" s="179">
        <v>39373.97</v>
      </c>
      <c r="H61" s="184">
        <v>29846.37</v>
      </c>
      <c r="I61" s="229">
        <v>26039.99</v>
      </c>
      <c r="J61" s="274">
        <v>35803.660000000003</v>
      </c>
      <c r="K61" s="195">
        <v>19290.36</v>
      </c>
      <c r="L61" s="205">
        <v>11094.67</v>
      </c>
      <c r="M61" s="212">
        <v>14358.23</v>
      </c>
      <c r="N61" s="217">
        <v>18261.560000000001</v>
      </c>
      <c r="O61" s="220">
        <v>24575.65</v>
      </c>
      <c r="P61" s="280">
        <v>31519.48</v>
      </c>
      <c r="Q61" s="172">
        <v>28802.44</v>
      </c>
      <c r="R61" s="229">
        <v>29507.68</v>
      </c>
      <c r="S61" s="8">
        <f t="shared" si="0"/>
        <v>308474.06</v>
      </c>
      <c r="T61" s="1">
        <f t="shared" si="1"/>
        <v>12</v>
      </c>
      <c r="U61" s="31">
        <f t="shared" si="2"/>
        <v>25706.171666666665</v>
      </c>
    </row>
    <row r="62" spans="1:21">
      <c r="A62" s="1">
        <v>46</v>
      </c>
      <c r="B62" s="1" t="s">
        <v>545</v>
      </c>
      <c r="C62" s="4">
        <v>7002700</v>
      </c>
      <c r="D62" s="4">
        <v>110</v>
      </c>
      <c r="E62" s="1" t="s">
        <v>262</v>
      </c>
      <c r="F62" s="1" t="s">
        <v>262</v>
      </c>
      <c r="G62" s="179">
        <v>101.82</v>
      </c>
      <c r="H62" s="238">
        <v>84</v>
      </c>
      <c r="I62" s="238">
        <v>99</v>
      </c>
      <c r="J62" s="238">
        <v>103.86</v>
      </c>
      <c r="K62" s="238">
        <v>109</v>
      </c>
      <c r="L62" s="238">
        <v>85</v>
      </c>
      <c r="M62" s="220">
        <v>56.81</v>
      </c>
      <c r="N62" s="220">
        <v>54.7</v>
      </c>
      <c r="O62" s="217">
        <v>55.82</v>
      </c>
      <c r="P62" s="220">
        <v>54.48</v>
      </c>
      <c r="Q62" s="172">
        <v>56.32</v>
      </c>
      <c r="R62" s="181">
        <v>54.9</v>
      </c>
      <c r="S62" s="8">
        <f t="shared" si="0"/>
        <v>915.71000000000015</v>
      </c>
      <c r="T62" s="1">
        <f t="shared" si="1"/>
        <v>12</v>
      </c>
      <c r="U62" s="31">
        <f t="shared" si="2"/>
        <v>76.309166666666684</v>
      </c>
    </row>
    <row r="63" spans="1:21">
      <c r="A63" s="1">
        <v>47</v>
      </c>
      <c r="B63" s="1" t="s">
        <v>546</v>
      </c>
      <c r="C63" s="4">
        <v>7008700</v>
      </c>
      <c r="D63" s="4">
        <v>773</v>
      </c>
      <c r="E63" s="1" t="s">
        <v>109</v>
      </c>
      <c r="F63" s="1" t="s">
        <v>109</v>
      </c>
      <c r="G63" s="179">
        <v>1909.7</v>
      </c>
      <c r="H63" s="184">
        <v>1314</v>
      </c>
      <c r="I63" s="229">
        <v>2924.4</v>
      </c>
      <c r="J63" s="274">
        <v>1972.38</v>
      </c>
      <c r="K63" s="195">
        <v>2139.7199999999998</v>
      </c>
      <c r="L63" s="238">
        <v>794.22</v>
      </c>
      <c r="M63" s="205">
        <v>921.18</v>
      </c>
      <c r="N63" s="212">
        <v>497.28</v>
      </c>
      <c r="O63" s="217">
        <v>1035.72</v>
      </c>
      <c r="P63" s="220">
        <v>2409.6</v>
      </c>
      <c r="Q63" s="280">
        <v>1588.8</v>
      </c>
      <c r="R63" s="172">
        <v>1497.6</v>
      </c>
      <c r="S63" s="8">
        <f t="shared" si="0"/>
        <v>19004.599999999999</v>
      </c>
      <c r="T63" s="1">
        <f t="shared" si="1"/>
        <v>12</v>
      </c>
      <c r="U63" s="31">
        <f t="shared" si="2"/>
        <v>1583.7166666666665</v>
      </c>
    </row>
    <row r="64" spans="1:21">
      <c r="A64" s="1">
        <v>49</v>
      </c>
      <c r="B64" s="1" t="s">
        <v>531</v>
      </c>
      <c r="C64" s="4">
        <v>7008800</v>
      </c>
      <c r="D64" s="4">
        <v>534</v>
      </c>
      <c r="E64" s="1" t="s">
        <v>88</v>
      </c>
      <c r="F64" s="1" t="s">
        <v>88</v>
      </c>
      <c r="G64" s="179">
        <v>756.19</v>
      </c>
      <c r="H64" s="184">
        <v>518.22</v>
      </c>
      <c r="I64" s="229">
        <v>649.51</v>
      </c>
      <c r="J64" s="274">
        <v>1180.56</v>
      </c>
      <c r="K64" s="195">
        <v>530.04</v>
      </c>
      <c r="L64" s="238">
        <v>254.12</v>
      </c>
      <c r="M64" s="205">
        <v>331.7</v>
      </c>
      <c r="N64" s="212">
        <v>408.2</v>
      </c>
      <c r="O64" s="217">
        <v>569.65</v>
      </c>
      <c r="P64" s="220">
        <v>1079.08</v>
      </c>
      <c r="Q64" s="280">
        <v>857.13</v>
      </c>
      <c r="R64" s="172">
        <v>687.9</v>
      </c>
      <c r="S64" s="8">
        <f t="shared" si="0"/>
        <v>7822.2999999999993</v>
      </c>
      <c r="T64" s="1">
        <f t="shared" si="1"/>
        <v>12</v>
      </c>
      <c r="U64" s="31">
        <f t="shared" si="2"/>
        <v>651.85833333333323</v>
      </c>
    </row>
    <row r="65" spans="1:21">
      <c r="C65" s="42">
        <v>13943600</v>
      </c>
      <c r="D65" s="42"/>
      <c r="E65" s="11" t="s">
        <v>602</v>
      </c>
      <c r="F65" s="11"/>
      <c r="G65" s="180"/>
      <c r="H65" s="185"/>
      <c r="I65" s="233"/>
      <c r="J65" s="275"/>
      <c r="K65" s="196"/>
      <c r="L65" s="240"/>
      <c r="M65" s="206"/>
      <c r="N65" s="211"/>
      <c r="O65" s="218"/>
      <c r="P65" s="222"/>
      <c r="Q65" s="280">
        <v>102.78</v>
      </c>
      <c r="R65" s="172">
        <v>89.34</v>
      </c>
      <c r="S65" s="8">
        <f t="shared" si="0"/>
        <v>192.12</v>
      </c>
      <c r="T65" s="1">
        <f t="shared" si="1"/>
        <v>2</v>
      </c>
      <c r="U65" s="31">
        <f t="shared" si="2"/>
        <v>96.06</v>
      </c>
    </row>
    <row r="66" spans="1:21">
      <c r="A66" s="1">
        <v>50</v>
      </c>
      <c r="B66" s="1" t="s">
        <v>540</v>
      </c>
      <c r="C66" s="4">
        <v>10288600</v>
      </c>
      <c r="D66" s="4">
        <v>134</v>
      </c>
      <c r="E66" s="1" t="s">
        <v>264</v>
      </c>
      <c r="F66" s="1" t="s">
        <v>264</v>
      </c>
      <c r="G66" s="179">
        <v>91445.7</v>
      </c>
      <c r="H66" s="184">
        <v>83787.19</v>
      </c>
      <c r="I66" s="229">
        <v>74584.679999999993</v>
      </c>
      <c r="J66" s="274">
        <v>109652.31</v>
      </c>
      <c r="K66" s="195">
        <v>63834.37</v>
      </c>
      <c r="L66" s="238">
        <v>36199.74</v>
      </c>
      <c r="M66" s="205">
        <v>42701.5</v>
      </c>
      <c r="N66" s="212">
        <v>41061.96</v>
      </c>
      <c r="O66" s="217">
        <v>63746.27</v>
      </c>
      <c r="P66" s="220">
        <v>90235.39</v>
      </c>
      <c r="Q66" s="280">
        <v>89144.84</v>
      </c>
      <c r="R66" s="172">
        <v>75560.460000000006</v>
      </c>
      <c r="S66" s="8">
        <f t="shared" si="0"/>
        <v>861954.40999999992</v>
      </c>
      <c r="T66" s="1">
        <f t="shared" si="1"/>
        <v>12</v>
      </c>
      <c r="U66" s="31">
        <f t="shared" si="2"/>
        <v>71829.534166666665</v>
      </c>
    </row>
    <row r="67" spans="1:21">
      <c r="C67" s="4">
        <v>15010643</v>
      </c>
      <c r="D67" s="4"/>
      <c r="E67" s="1" t="s">
        <v>585</v>
      </c>
      <c r="F67" s="1" t="s">
        <v>586</v>
      </c>
      <c r="G67" s="180"/>
      <c r="H67" s="185"/>
      <c r="I67" s="233"/>
      <c r="J67" s="275"/>
      <c r="K67" s="196"/>
      <c r="L67" s="240"/>
      <c r="M67" s="220">
        <v>16.02</v>
      </c>
      <c r="N67" s="220">
        <v>13.08</v>
      </c>
      <c r="O67" s="220">
        <v>30.54</v>
      </c>
      <c r="P67" s="220">
        <v>39.24</v>
      </c>
      <c r="Q67" s="280">
        <v>8.6999999999999993</v>
      </c>
      <c r="R67" s="181">
        <v>25.38</v>
      </c>
      <c r="S67" s="8">
        <f t="shared" si="0"/>
        <v>132.96</v>
      </c>
      <c r="T67" s="1">
        <f t="shared" si="1"/>
        <v>6</v>
      </c>
      <c r="U67" s="31">
        <f t="shared" si="2"/>
        <v>22.16</v>
      </c>
    </row>
    <row r="68" spans="1:21">
      <c r="A68" s="1">
        <v>51</v>
      </c>
      <c r="B68" s="1" t="s">
        <v>533</v>
      </c>
      <c r="C68" s="4">
        <v>15013835</v>
      </c>
      <c r="D68" s="4">
        <v>4129</v>
      </c>
      <c r="E68" s="1" t="s">
        <v>510</v>
      </c>
      <c r="F68" s="1" t="s">
        <v>510</v>
      </c>
      <c r="G68" s="179">
        <v>6960.84</v>
      </c>
      <c r="H68" s="184">
        <v>6476.88</v>
      </c>
      <c r="I68" s="229">
        <v>6814.68</v>
      </c>
      <c r="J68" s="274">
        <v>7361.64</v>
      </c>
      <c r="K68" s="195">
        <v>6987.12</v>
      </c>
      <c r="L68" s="238">
        <v>6616.08</v>
      </c>
      <c r="M68" s="205">
        <v>6437.94</v>
      </c>
      <c r="N68" s="212">
        <v>5562.96</v>
      </c>
      <c r="O68" s="217">
        <v>7048.32</v>
      </c>
      <c r="P68" s="220">
        <v>7373.22</v>
      </c>
      <c r="Q68" s="280">
        <v>7413.84</v>
      </c>
      <c r="R68" s="172">
        <v>7359.9</v>
      </c>
      <c r="S68" s="8">
        <f t="shared" ref="S68:S109" si="3">+SUM(G68:R68)</f>
        <v>82413.42</v>
      </c>
      <c r="T68" s="1">
        <f t="shared" ref="T68:T109" si="4">COUNT(G68:R68)</f>
        <v>12</v>
      </c>
      <c r="U68" s="31">
        <f t="shared" ref="U68:U109" si="5">+IF(S68=0,0,S68/T68)</f>
        <v>6867.7849999999999</v>
      </c>
    </row>
    <row r="69" spans="1:21">
      <c r="C69" s="4">
        <v>15037661</v>
      </c>
      <c r="D69" s="4"/>
      <c r="E69" s="1" t="s">
        <v>587</v>
      </c>
      <c r="F69" s="1" t="s">
        <v>588</v>
      </c>
      <c r="G69" s="279">
        <f>93.72+130.56+135+288+83.4+75+111+225+255+135+225+300</f>
        <v>2056.6799999999998</v>
      </c>
      <c r="H69" s="220">
        <v>270</v>
      </c>
      <c r="I69" s="220">
        <v>219</v>
      </c>
      <c r="J69" s="220">
        <v>270</v>
      </c>
      <c r="K69" s="220">
        <v>216</v>
      </c>
      <c r="L69" s="220">
        <v>120</v>
      </c>
      <c r="M69" s="220">
        <v>90</v>
      </c>
      <c r="N69" s="220">
        <v>60</v>
      </c>
      <c r="O69" s="220">
        <v>210</v>
      </c>
      <c r="P69" s="220">
        <v>300</v>
      </c>
      <c r="Q69" s="280">
        <v>300</v>
      </c>
      <c r="R69" s="172">
        <v>135</v>
      </c>
      <c r="S69" s="8">
        <f t="shared" si="3"/>
        <v>4246.68</v>
      </c>
      <c r="T69" s="1">
        <f t="shared" si="4"/>
        <v>12</v>
      </c>
      <c r="U69" s="31">
        <f t="shared" si="5"/>
        <v>353.89000000000004</v>
      </c>
    </row>
    <row r="70" spans="1:21">
      <c r="A70" s="1">
        <v>83</v>
      </c>
      <c r="C70" s="4">
        <v>3555200</v>
      </c>
      <c r="D70" s="4"/>
      <c r="E70" s="1" t="s">
        <v>575</v>
      </c>
      <c r="F70" s="1" t="s">
        <v>576</v>
      </c>
      <c r="G70" s="179"/>
      <c r="H70" s="184"/>
      <c r="I70" s="217">
        <v>67.44</v>
      </c>
      <c r="J70" s="217">
        <v>58.8</v>
      </c>
      <c r="K70" s="217">
        <v>9.3000000000000007</v>
      </c>
      <c r="L70" s="238"/>
      <c r="M70" s="205"/>
      <c r="N70" s="212"/>
      <c r="O70" s="217"/>
      <c r="P70" s="220"/>
      <c r="Q70" s="304"/>
      <c r="R70" s="172"/>
      <c r="S70" s="8">
        <f t="shared" si="3"/>
        <v>135.54</v>
      </c>
      <c r="T70" s="1">
        <f t="shared" si="4"/>
        <v>3</v>
      </c>
      <c r="U70" s="31">
        <f t="shared" si="5"/>
        <v>45.18</v>
      </c>
    </row>
    <row r="71" spans="1:21">
      <c r="A71" s="1">
        <v>52</v>
      </c>
      <c r="B71" s="1" t="s">
        <v>532</v>
      </c>
      <c r="C71" s="4">
        <v>7005102</v>
      </c>
      <c r="D71" s="4">
        <v>111</v>
      </c>
      <c r="E71" s="1" t="s">
        <v>265</v>
      </c>
      <c r="F71" s="1" t="s">
        <v>265</v>
      </c>
      <c r="G71" s="179">
        <v>7853.75</v>
      </c>
      <c r="H71" s="184">
        <v>7015.21</v>
      </c>
      <c r="I71" s="229">
        <v>6198.32</v>
      </c>
      <c r="J71" s="274">
        <v>8194.2999999999993</v>
      </c>
      <c r="K71" s="195">
        <v>6023.45</v>
      </c>
      <c r="L71" s="238">
        <v>4733.5</v>
      </c>
      <c r="M71" s="205">
        <v>4462.5</v>
      </c>
      <c r="N71" s="212">
        <v>4832.6499999999996</v>
      </c>
      <c r="O71" s="217">
        <v>6910.89</v>
      </c>
      <c r="P71" s="220">
        <v>8946.15</v>
      </c>
      <c r="Q71" s="280">
        <v>7528.99</v>
      </c>
      <c r="R71" s="172">
        <v>7661.86</v>
      </c>
      <c r="S71" s="8">
        <f t="shared" si="3"/>
        <v>80361.570000000007</v>
      </c>
      <c r="T71" s="1">
        <f t="shared" si="4"/>
        <v>12</v>
      </c>
      <c r="U71" s="31">
        <f t="shared" si="5"/>
        <v>6696.7975000000006</v>
      </c>
    </row>
    <row r="72" spans="1:21">
      <c r="A72" s="1">
        <v>53</v>
      </c>
      <c r="B72" s="1" t="s">
        <v>532</v>
      </c>
      <c r="C72" s="4">
        <v>15028327</v>
      </c>
      <c r="D72" s="4">
        <v>112</v>
      </c>
      <c r="E72" s="1" t="s">
        <v>566</v>
      </c>
      <c r="F72" s="1" t="s">
        <v>511</v>
      </c>
      <c r="G72" s="179">
        <v>6776.69</v>
      </c>
      <c r="H72" s="184">
        <v>6521.96</v>
      </c>
      <c r="I72" s="229">
        <v>5484.99</v>
      </c>
      <c r="J72" s="274">
        <v>6682.86</v>
      </c>
      <c r="K72" s="195">
        <v>5441.89</v>
      </c>
      <c r="L72" s="238">
        <v>4719.37</v>
      </c>
      <c r="M72" s="205">
        <v>4341.62</v>
      </c>
      <c r="N72" s="212">
        <v>4733.01</v>
      </c>
      <c r="O72" s="217">
        <v>5580.42</v>
      </c>
      <c r="P72" s="220">
        <v>6622.35</v>
      </c>
      <c r="Q72" s="280">
        <v>5999.42</v>
      </c>
      <c r="R72" s="172">
        <v>6298.9</v>
      </c>
      <c r="S72" s="8">
        <f t="shared" si="3"/>
        <v>69203.48</v>
      </c>
      <c r="T72" s="1">
        <f t="shared" si="4"/>
        <v>12</v>
      </c>
      <c r="U72" s="31">
        <f t="shared" si="5"/>
        <v>5766.956666666666</v>
      </c>
    </row>
    <row r="73" spans="1:21">
      <c r="A73" s="1">
        <v>54</v>
      </c>
      <c r="B73" s="1" t="s">
        <v>535</v>
      </c>
      <c r="C73" s="4">
        <v>7003101</v>
      </c>
      <c r="D73" s="4">
        <v>113</v>
      </c>
      <c r="E73" s="1" t="s">
        <v>267</v>
      </c>
      <c r="F73" s="1" t="s">
        <v>267</v>
      </c>
      <c r="G73" s="179">
        <v>1122.8900000000001</v>
      </c>
      <c r="H73" s="184">
        <v>1316.63</v>
      </c>
      <c r="I73" s="229">
        <v>1144.74</v>
      </c>
      <c r="J73" s="274">
        <v>1288.44</v>
      </c>
      <c r="K73" s="195">
        <v>1203.56</v>
      </c>
      <c r="L73" s="238">
        <v>788.36</v>
      </c>
      <c r="M73" s="205">
        <v>866.64</v>
      </c>
      <c r="N73" s="212">
        <v>882.88</v>
      </c>
      <c r="O73" s="217">
        <v>930.08</v>
      </c>
      <c r="P73" s="220">
        <v>1181.02</v>
      </c>
      <c r="Q73" s="280">
        <v>1117.79</v>
      </c>
      <c r="R73" s="172">
        <v>926.08</v>
      </c>
      <c r="S73" s="8">
        <f t="shared" si="3"/>
        <v>12769.109999999999</v>
      </c>
      <c r="T73" s="1">
        <f t="shared" si="4"/>
        <v>12</v>
      </c>
      <c r="U73" s="31">
        <f t="shared" si="5"/>
        <v>1064.0925</v>
      </c>
    </row>
    <row r="74" spans="1:21">
      <c r="C74" s="42">
        <v>15037963</v>
      </c>
      <c r="D74" s="42"/>
      <c r="E74" s="11" t="s">
        <v>606</v>
      </c>
      <c r="F74" s="11" t="s">
        <v>605</v>
      </c>
      <c r="G74" s="180"/>
      <c r="H74" s="185"/>
      <c r="I74" s="233"/>
      <c r="J74" s="275"/>
      <c r="K74" s="196"/>
      <c r="L74" s="240"/>
      <c r="M74" s="206"/>
      <c r="N74" s="211"/>
      <c r="O74" s="218"/>
      <c r="P74" s="222"/>
      <c r="Q74" s="280">
        <v>320.67</v>
      </c>
      <c r="R74" s="172">
        <v>8750.2099999999991</v>
      </c>
      <c r="S74" s="8">
        <f t="shared" si="3"/>
        <v>9070.8799999999992</v>
      </c>
      <c r="T74" s="1">
        <f t="shared" si="4"/>
        <v>2</v>
      </c>
      <c r="U74" s="31">
        <f t="shared" si="5"/>
        <v>4535.4399999999996</v>
      </c>
    </row>
    <row r="75" spans="1:21">
      <c r="A75" s="1">
        <v>55</v>
      </c>
      <c r="B75" s="1" t="s">
        <v>547</v>
      </c>
      <c r="C75" s="4">
        <v>15028936</v>
      </c>
      <c r="D75" s="4"/>
      <c r="E75" s="1" t="s">
        <v>478</v>
      </c>
      <c r="F75" s="1" t="s">
        <v>478</v>
      </c>
      <c r="G75" s="179">
        <v>336</v>
      </c>
      <c r="H75" s="184">
        <v>47.52</v>
      </c>
      <c r="I75" s="229">
        <v>176.52</v>
      </c>
      <c r="J75" s="274">
        <v>284.64</v>
      </c>
      <c r="K75" s="32"/>
      <c r="L75" s="32"/>
      <c r="M75" s="205">
        <v>23.55</v>
      </c>
      <c r="N75" s="212">
        <v>150.9</v>
      </c>
      <c r="O75" s="217">
        <v>423.52</v>
      </c>
      <c r="P75" s="220">
        <v>367.5</v>
      </c>
      <c r="Q75" s="280">
        <v>75.599999999999994</v>
      </c>
      <c r="R75" s="32"/>
      <c r="S75" s="8">
        <f t="shared" si="3"/>
        <v>1885.7499999999998</v>
      </c>
      <c r="T75" s="1">
        <f t="shared" si="4"/>
        <v>9</v>
      </c>
      <c r="U75" s="31">
        <f t="shared" si="5"/>
        <v>209.52777777777774</v>
      </c>
    </row>
    <row r="76" spans="1:21">
      <c r="A76" s="1">
        <v>56</v>
      </c>
      <c r="B76" s="1" t="s">
        <v>535</v>
      </c>
      <c r="C76" s="4">
        <v>7008901</v>
      </c>
      <c r="D76" s="4">
        <v>135</v>
      </c>
      <c r="E76" s="1" t="s">
        <v>268</v>
      </c>
      <c r="F76" s="1" t="s">
        <v>268</v>
      </c>
      <c r="G76" s="179">
        <v>6019.74</v>
      </c>
      <c r="H76" s="184">
        <v>4627.5</v>
      </c>
      <c r="I76" s="229">
        <v>4773.3</v>
      </c>
      <c r="J76" s="274">
        <v>5835.48</v>
      </c>
      <c r="K76" s="195">
        <v>2938.68</v>
      </c>
      <c r="L76" s="238">
        <v>1630.8</v>
      </c>
      <c r="M76" s="205">
        <v>1842.12</v>
      </c>
      <c r="N76" s="212">
        <v>2540.2199999999998</v>
      </c>
      <c r="O76" s="217">
        <v>3306.96</v>
      </c>
      <c r="P76" s="220">
        <v>6337.8</v>
      </c>
      <c r="Q76" s="280">
        <v>5199.18</v>
      </c>
      <c r="R76" s="172">
        <v>5531.04</v>
      </c>
      <c r="S76" s="8">
        <f t="shared" si="3"/>
        <v>50582.820000000007</v>
      </c>
      <c r="T76" s="1">
        <f t="shared" si="4"/>
        <v>12</v>
      </c>
      <c r="U76" s="31">
        <f t="shared" si="5"/>
        <v>4215.2350000000006</v>
      </c>
    </row>
    <row r="77" spans="1:21">
      <c r="A77" s="1">
        <v>9</v>
      </c>
      <c r="B77" s="1" t="s">
        <v>532</v>
      </c>
      <c r="C77" s="4">
        <v>15036180</v>
      </c>
      <c r="D77" s="4"/>
      <c r="E77" s="1" t="s">
        <v>573</v>
      </c>
      <c r="F77" s="1" t="s">
        <v>579</v>
      </c>
      <c r="G77" s="180"/>
      <c r="H77" s="185"/>
      <c r="I77" s="233"/>
      <c r="J77" s="275"/>
      <c r="K77" s="196"/>
      <c r="L77" s="240"/>
      <c r="M77" s="205">
        <v>4580.42</v>
      </c>
      <c r="N77" s="212">
        <v>3115.83</v>
      </c>
      <c r="O77" s="217">
        <v>7857</v>
      </c>
      <c r="P77" s="220">
        <v>5127.74</v>
      </c>
      <c r="Q77" s="280">
        <v>5504.18</v>
      </c>
      <c r="R77" s="181">
        <v>5643.6</v>
      </c>
      <c r="S77" s="8">
        <f t="shared" si="3"/>
        <v>31828.769999999997</v>
      </c>
      <c r="T77" s="1">
        <f t="shared" si="4"/>
        <v>6</v>
      </c>
      <c r="U77" s="31">
        <f t="shared" si="5"/>
        <v>5304.7949999999992</v>
      </c>
    </row>
    <row r="78" spans="1:21">
      <c r="A78" s="1">
        <v>57</v>
      </c>
      <c r="C78" s="4">
        <v>15020408</v>
      </c>
      <c r="D78" s="4"/>
      <c r="E78" s="1" t="s">
        <v>367</v>
      </c>
      <c r="F78" s="1" t="s">
        <v>367</v>
      </c>
      <c r="G78" s="303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8">
        <f t="shared" si="3"/>
        <v>0</v>
      </c>
      <c r="T78" s="1">
        <f t="shared" si="4"/>
        <v>0</v>
      </c>
      <c r="U78" s="31">
        <f t="shared" si="5"/>
        <v>0</v>
      </c>
    </row>
    <row r="79" spans="1:21">
      <c r="A79" s="1">
        <v>58</v>
      </c>
      <c r="B79" s="1" t="s">
        <v>538</v>
      </c>
      <c r="C79" s="4">
        <v>7001502</v>
      </c>
      <c r="D79" s="4">
        <v>128</v>
      </c>
      <c r="E79" s="1" t="s">
        <v>270</v>
      </c>
      <c r="F79" s="1" t="s">
        <v>270</v>
      </c>
      <c r="G79" s="179">
        <v>11905.98</v>
      </c>
      <c r="H79" s="184">
        <v>8479.64</v>
      </c>
      <c r="I79" s="229">
        <v>6708.63</v>
      </c>
      <c r="J79" s="274">
        <v>11680.31</v>
      </c>
      <c r="K79" s="195">
        <v>7521.18</v>
      </c>
      <c r="L79" s="238">
        <v>5553.82</v>
      </c>
      <c r="M79" s="205">
        <v>5177.82</v>
      </c>
      <c r="N79" s="212">
        <v>6229.58</v>
      </c>
      <c r="O79" s="217">
        <v>8975.9699999999993</v>
      </c>
      <c r="P79" s="220">
        <v>11666.72</v>
      </c>
      <c r="Q79" s="280">
        <v>10832.03</v>
      </c>
      <c r="R79" s="172">
        <v>9505.5400000000009</v>
      </c>
      <c r="S79" s="8">
        <f t="shared" si="3"/>
        <v>104237.22</v>
      </c>
      <c r="T79" s="1">
        <f t="shared" si="4"/>
        <v>12</v>
      </c>
      <c r="U79" s="31">
        <f t="shared" si="5"/>
        <v>8686.4349999999995</v>
      </c>
    </row>
    <row r="80" spans="1:21">
      <c r="A80" s="1">
        <v>60</v>
      </c>
      <c r="B80" s="1" t="s">
        <v>538</v>
      </c>
      <c r="C80" s="4">
        <v>15007129</v>
      </c>
      <c r="D80" s="4"/>
      <c r="E80" s="1" t="s">
        <v>479</v>
      </c>
      <c r="F80" s="1" t="s">
        <v>479</v>
      </c>
      <c r="G80" s="179">
        <v>7866.84</v>
      </c>
      <c r="H80" s="184">
        <v>6999.78</v>
      </c>
      <c r="I80" s="229">
        <v>5986.51</v>
      </c>
      <c r="J80" s="274">
        <v>9027.5400000000009</v>
      </c>
      <c r="K80" s="195">
        <v>5527.44</v>
      </c>
      <c r="L80" s="238">
        <v>4520.58</v>
      </c>
      <c r="M80" s="205">
        <v>4413.6499999999996</v>
      </c>
      <c r="N80" s="212">
        <v>4606.3500000000004</v>
      </c>
      <c r="O80" s="217">
        <v>7375.07</v>
      </c>
      <c r="P80" s="220">
        <v>8259.9699999999993</v>
      </c>
      <c r="Q80" s="280">
        <v>1886.16</v>
      </c>
      <c r="R80" s="173"/>
      <c r="S80" s="8">
        <f t="shared" si="3"/>
        <v>66469.89</v>
      </c>
      <c r="T80" s="1">
        <f t="shared" si="4"/>
        <v>11</v>
      </c>
      <c r="U80" s="31">
        <f t="shared" si="5"/>
        <v>6042.7172727272728</v>
      </c>
    </row>
    <row r="81" spans="1:21">
      <c r="B81" s="1" t="s">
        <v>538</v>
      </c>
      <c r="C81" s="4">
        <v>15038477</v>
      </c>
      <c r="D81" s="4"/>
      <c r="E81" s="1" t="s">
        <v>479</v>
      </c>
      <c r="F81" s="1" t="s">
        <v>479</v>
      </c>
      <c r="G81" s="180"/>
      <c r="H81" s="185"/>
      <c r="I81" s="233"/>
      <c r="J81" s="275"/>
      <c r="K81" s="196"/>
      <c r="L81" s="240"/>
      <c r="M81" s="206"/>
      <c r="N81" s="211"/>
      <c r="O81" s="218"/>
      <c r="P81" s="222"/>
      <c r="Q81" s="280">
        <v>5760.49</v>
      </c>
      <c r="R81" s="181">
        <v>6078.87</v>
      </c>
      <c r="S81" s="8">
        <f t="shared" si="3"/>
        <v>11839.36</v>
      </c>
      <c r="T81" s="1">
        <f t="shared" si="4"/>
        <v>2</v>
      </c>
      <c r="U81" s="31">
        <f t="shared" si="5"/>
        <v>5919.68</v>
      </c>
    </row>
    <row r="82" spans="1:21">
      <c r="A82" s="1">
        <v>61</v>
      </c>
      <c r="B82" s="1" t="s">
        <v>541</v>
      </c>
      <c r="C82" s="4">
        <v>15013110</v>
      </c>
      <c r="D82" s="4"/>
      <c r="E82" s="1" t="s">
        <v>480</v>
      </c>
      <c r="F82" s="1" t="s">
        <v>480</v>
      </c>
      <c r="G82" s="181">
        <v>8870.8799999999992</v>
      </c>
      <c r="H82" s="184">
        <v>8815.69</v>
      </c>
      <c r="I82" s="229">
        <v>8513.69</v>
      </c>
      <c r="J82" s="274">
        <v>9867.69</v>
      </c>
      <c r="K82" s="195">
        <v>7186.23</v>
      </c>
      <c r="L82" s="238">
        <v>6627.83</v>
      </c>
      <c r="M82" s="205">
        <v>6802.62</v>
      </c>
      <c r="N82" s="212">
        <v>6588.27</v>
      </c>
      <c r="O82" s="217">
        <v>8053.53</v>
      </c>
      <c r="P82" s="220">
        <v>10602.16</v>
      </c>
      <c r="Q82" s="280">
        <v>2125.77</v>
      </c>
      <c r="R82" s="173"/>
      <c r="S82" s="8">
        <f t="shared" si="3"/>
        <v>84054.360000000015</v>
      </c>
      <c r="T82" s="1">
        <f t="shared" si="4"/>
        <v>11</v>
      </c>
      <c r="U82" s="31">
        <f t="shared" si="5"/>
        <v>7641.3054545454561</v>
      </c>
    </row>
    <row r="83" spans="1:21">
      <c r="B83" s="1" t="s">
        <v>541</v>
      </c>
      <c r="C83" s="4">
        <v>15038477</v>
      </c>
      <c r="D83" s="4"/>
      <c r="E83" s="1" t="s">
        <v>480</v>
      </c>
      <c r="F83" s="1" t="s">
        <v>480</v>
      </c>
      <c r="G83" s="180"/>
      <c r="H83" s="185"/>
      <c r="I83" s="233"/>
      <c r="J83" s="275"/>
      <c r="K83" s="196"/>
      <c r="L83" s="240"/>
      <c r="M83" s="206"/>
      <c r="N83" s="211"/>
      <c r="O83" s="218"/>
      <c r="P83" s="222"/>
      <c r="Q83" s="280">
        <v>7157.67</v>
      </c>
      <c r="R83" s="173"/>
      <c r="S83" s="8">
        <f t="shared" si="3"/>
        <v>7157.67</v>
      </c>
      <c r="T83" s="1">
        <f t="shared" si="4"/>
        <v>1</v>
      </c>
      <c r="U83" s="31">
        <f t="shared" si="5"/>
        <v>7157.67</v>
      </c>
    </row>
    <row r="84" spans="1:21">
      <c r="B84" s="1" t="s">
        <v>541</v>
      </c>
      <c r="C84" s="4">
        <v>15051247</v>
      </c>
      <c r="D84" s="4"/>
      <c r="E84" s="1" t="s">
        <v>480</v>
      </c>
      <c r="F84" s="1" t="s">
        <v>480</v>
      </c>
      <c r="G84" s="180"/>
      <c r="H84" s="185"/>
      <c r="I84" s="233"/>
      <c r="J84" s="275"/>
      <c r="K84" s="196"/>
      <c r="L84" s="240"/>
      <c r="M84" s="206"/>
      <c r="N84" s="211"/>
      <c r="O84" s="218"/>
      <c r="P84" s="222"/>
      <c r="Q84" s="281"/>
      <c r="R84" s="181">
        <v>10167.25</v>
      </c>
      <c r="S84" s="8"/>
      <c r="U84" s="31"/>
    </row>
    <row r="85" spans="1:21">
      <c r="C85" s="42">
        <v>15012310</v>
      </c>
      <c r="D85" s="42"/>
      <c r="E85" s="11" t="s">
        <v>603</v>
      </c>
      <c r="F85" s="11"/>
      <c r="G85" s="180"/>
      <c r="H85" s="185"/>
      <c r="I85" s="233"/>
      <c r="J85" s="275"/>
      <c r="K85" s="196"/>
      <c r="L85" s="240"/>
      <c r="M85" s="206"/>
      <c r="N85" s="211"/>
      <c r="O85" s="218"/>
      <c r="P85" s="222"/>
      <c r="Q85" s="280">
        <v>186.24</v>
      </c>
      <c r="R85" s="181">
        <v>58.2</v>
      </c>
      <c r="S85" s="8">
        <f t="shared" si="3"/>
        <v>244.44</v>
      </c>
      <c r="T85" s="1">
        <f t="shared" si="4"/>
        <v>2</v>
      </c>
      <c r="U85" s="31">
        <f t="shared" si="5"/>
        <v>122.22</v>
      </c>
    </row>
    <row r="86" spans="1:21">
      <c r="A86" s="1">
        <v>62</v>
      </c>
      <c r="B86" s="1" t="s">
        <v>535</v>
      </c>
      <c r="C86" s="4">
        <v>7004001</v>
      </c>
      <c r="D86" s="4">
        <v>116</v>
      </c>
      <c r="E86" s="1" t="s">
        <v>277</v>
      </c>
      <c r="F86" s="1" t="s">
        <v>277</v>
      </c>
      <c r="G86" s="181">
        <v>15261.89</v>
      </c>
      <c r="H86" s="184">
        <v>15774.12</v>
      </c>
      <c r="I86" s="229">
        <v>13575.66</v>
      </c>
      <c r="J86" s="274">
        <v>15512.14</v>
      </c>
      <c r="K86" s="195">
        <v>12782.03</v>
      </c>
      <c r="L86" s="238">
        <v>9733.69</v>
      </c>
      <c r="M86" s="205">
        <v>10554.75</v>
      </c>
      <c r="N86" s="212">
        <v>10674.9</v>
      </c>
      <c r="O86" s="217">
        <v>14418.97</v>
      </c>
      <c r="P86" s="220">
        <v>15368.88</v>
      </c>
      <c r="Q86" s="280">
        <v>16175.19</v>
      </c>
      <c r="R86" s="172">
        <v>14615.85</v>
      </c>
      <c r="S86" s="8">
        <f t="shared" si="3"/>
        <v>164448.07</v>
      </c>
      <c r="T86" s="1">
        <f t="shared" si="4"/>
        <v>12</v>
      </c>
      <c r="U86" s="31">
        <f t="shared" si="5"/>
        <v>13704.005833333335</v>
      </c>
    </row>
    <row r="87" spans="1:21">
      <c r="A87" s="1">
        <v>63</v>
      </c>
      <c r="B87" s="1" t="s">
        <v>530</v>
      </c>
      <c r="C87" s="4">
        <v>15021222</v>
      </c>
      <c r="D87" s="4">
        <v>556</v>
      </c>
      <c r="E87" s="1" t="s">
        <v>90</v>
      </c>
      <c r="F87" s="1" t="s">
        <v>90</v>
      </c>
      <c r="G87" s="181">
        <v>17181.509999999998</v>
      </c>
      <c r="H87" s="184">
        <v>16336.91</v>
      </c>
      <c r="I87" s="229">
        <v>14958.9</v>
      </c>
      <c r="J87" s="274">
        <v>19440.62</v>
      </c>
      <c r="K87" s="195">
        <v>14782.95</v>
      </c>
      <c r="L87" s="238">
        <v>11085.67</v>
      </c>
      <c r="M87" s="205">
        <v>11339.18</v>
      </c>
      <c r="N87" s="212">
        <v>11463.2</v>
      </c>
      <c r="O87" s="218"/>
      <c r="P87" s="222"/>
      <c r="Q87" s="281"/>
      <c r="R87" s="173"/>
      <c r="S87" s="8">
        <f t="shared" si="3"/>
        <v>116588.93999999999</v>
      </c>
      <c r="T87" s="1">
        <f t="shared" si="4"/>
        <v>8</v>
      </c>
      <c r="U87" s="31">
        <f t="shared" si="5"/>
        <v>14573.617499999998</v>
      </c>
    </row>
    <row r="88" spans="1:21">
      <c r="B88" s="1" t="s">
        <v>530</v>
      </c>
      <c r="C88" s="4">
        <v>15036315</v>
      </c>
      <c r="D88" s="4">
        <v>556</v>
      </c>
      <c r="E88" s="1" t="s">
        <v>90</v>
      </c>
      <c r="F88" s="1" t="s">
        <v>90</v>
      </c>
      <c r="G88" s="180"/>
      <c r="H88" s="185"/>
      <c r="I88" s="233"/>
      <c r="J88" s="275"/>
      <c r="K88" s="196"/>
      <c r="L88" s="240"/>
      <c r="M88" s="206"/>
      <c r="N88" s="212">
        <v>1211.19</v>
      </c>
      <c r="O88" s="217">
        <v>16086.42</v>
      </c>
      <c r="P88" s="220">
        <v>19787.97</v>
      </c>
      <c r="Q88" s="280">
        <v>18002.22</v>
      </c>
      <c r="R88" s="172">
        <v>15819.78</v>
      </c>
      <c r="S88" s="8">
        <f t="shared" si="3"/>
        <v>70907.58</v>
      </c>
      <c r="T88" s="1">
        <f t="shared" si="4"/>
        <v>5</v>
      </c>
      <c r="U88" s="31">
        <f t="shared" si="5"/>
        <v>14181.516</v>
      </c>
    </row>
    <row r="89" spans="1:21">
      <c r="A89" s="1">
        <v>64</v>
      </c>
      <c r="B89" s="1" t="s">
        <v>537</v>
      </c>
      <c r="C89" s="4">
        <v>15020277</v>
      </c>
      <c r="D89" s="4"/>
      <c r="E89" s="1" t="s">
        <v>364</v>
      </c>
      <c r="F89" s="1" t="s">
        <v>364</v>
      </c>
      <c r="G89" s="181">
        <v>20376.02</v>
      </c>
      <c r="H89" s="184">
        <v>20167.61</v>
      </c>
      <c r="I89" s="229">
        <v>20271.88</v>
      </c>
      <c r="J89" s="274">
        <v>24700.35</v>
      </c>
      <c r="K89" s="195">
        <v>18604.47</v>
      </c>
      <c r="L89" s="238">
        <v>14822.45</v>
      </c>
      <c r="M89" s="205">
        <v>14994.58</v>
      </c>
      <c r="N89" s="211"/>
      <c r="O89" s="218"/>
      <c r="P89" s="222"/>
      <c r="Q89" s="281"/>
      <c r="R89" s="173"/>
      <c r="S89" s="8">
        <f t="shared" si="3"/>
        <v>133937.36000000002</v>
      </c>
      <c r="T89" s="1">
        <f t="shared" si="4"/>
        <v>7</v>
      </c>
      <c r="U89" s="31">
        <f t="shared" si="5"/>
        <v>19133.908571428572</v>
      </c>
    </row>
    <row r="90" spans="1:21">
      <c r="B90" s="1" t="s">
        <v>537</v>
      </c>
      <c r="C90" s="4">
        <v>15036831</v>
      </c>
      <c r="D90" s="4"/>
      <c r="E90" s="1" t="s">
        <v>364</v>
      </c>
      <c r="F90" s="1" t="s">
        <v>364</v>
      </c>
      <c r="G90" s="180"/>
      <c r="H90" s="185"/>
      <c r="I90" s="233"/>
      <c r="J90" s="275"/>
      <c r="K90" s="196"/>
      <c r="L90" s="240"/>
      <c r="M90" s="206"/>
      <c r="N90" s="212">
        <v>16146.26</v>
      </c>
      <c r="O90" s="217">
        <v>19936.72</v>
      </c>
      <c r="P90" s="220">
        <v>23803.040000000001</v>
      </c>
      <c r="Q90" s="280">
        <v>21545.23</v>
      </c>
      <c r="R90" s="172">
        <v>20195.72</v>
      </c>
      <c r="S90" s="8">
        <f t="shared" si="3"/>
        <v>101626.97</v>
      </c>
      <c r="T90" s="1">
        <f t="shared" si="4"/>
        <v>5</v>
      </c>
      <c r="U90" s="31">
        <f t="shared" si="5"/>
        <v>20325.394</v>
      </c>
    </row>
    <row r="91" spans="1:21">
      <c r="A91" s="1">
        <v>65</v>
      </c>
      <c r="C91" s="4">
        <v>13236300</v>
      </c>
      <c r="D91" s="4"/>
      <c r="E91" s="1" t="s">
        <v>514</v>
      </c>
      <c r="F91" s="1" t="s">
        <v>514</v>
      </c>
      <c r="G91" s="302"/>
      <c r="H91" s="297"/>
      <c r="I91" s="297"/>
      <c r="J91" s="297"/>
      <c r="K91" s="297"/>
      <c r="L91" s="297"/>
      <c r="M91" s="297"/>
      <c r="N91" s="297"/>
      <c r="O91" s="297"/>
      <c r="P91" s="297"/>
      <c r="Q91" s="297"/>
      <c r="R91" s="297"/>
      <c r="S91" s="8">
        <f t="shared" si="3"/>
        <v>0</v>
      </c>
      <c r="T91" s="1">
        <f t="shared" si="4"/>
        <v>0</v>
      </c>
      <c r="U91" s="31">
        <f t="shared" si="5"/>
        <v>0</v>
      </c>
    </row>
    <row r="92" spans="1:21">
      <c r="A92" s="1">
        <v>66</v>
      </c>
      <c r="B92" s="1" t="s">
        <v>539</v>
      </c>
      <c r="C92" s="4">
        <v>15005530</v>
      </c>
      <c r="D92" s="4">
        <v>107</v>
      </c>
      <c r="E92" s="1" t="s">
        <v>526</v>
      </c>
      <c r="F92" s="1" t="s">
        <v>278</v>
      </c>
      <c r="G92" s="179">
        <v>1384.68</v>
      </c>
      <c r="H92" s="229">
        <v>1138.3499999999999</v>
      </c>
      <c r="I92" s="229">
        <v>1423</v>
      </c>
      <c r="J92" s="274">
        <v>2272.33</v>
      </c>
      <c r="K92" s="195">
        <v>1424.97</v>
      </c>
      <c r="L92" s="238">
        <v>681.45</v>
      </c>
      <c r="M92" s="205">
        <v>1021.91</v>
      </c>
      <c r="N92" s="212">
        <v>757</v>
      </c>
      <c r="O92" s="217">
        <v>1504.79</v>
      </c>
      <c r="P92" s="220">
        <v>1198.81</v>
      </c>
      <c r="Q92" s="281"/>
      <c r="R92" s="173"/>
      <c r="S92" s="8">
        <f t="shared" si="3"/>
        <v>12807.289999999999</v>
      </c>
      <c r="T92" s="1">
        <f t="shared" si="4"/>
        <v>10</v>
      </c>
      <c r="U92" s="31">
        <f t="shared" si="5"/>
        <v>1280.7289999999998</v>
      </c>
    </row>
    <row r="93" spans="1:21">
      <c r="A93" s="1">
        <v>67</v>
      </c>
      <c r="B93" s="1" t="s">
        <v>530</v>
      </c>
      <c r="C93" s="42">
        <v>7008000</v>
      </c>
      <c r="D93" s="42">
        <v>118</v>
      </c>
      <c r="E93" s="11" t="s">
        <v>280</v>
      </c>
      <c r="F93" s="11" t="s">
        <v>280</v>
      </c>
      <c r="G93" s="179">
        <v>3852.2</v>
      </c>
      <c r="H93" s="184">
        <v>3864.15</v>
      </c>
      <c r="I93" s="229">
        <v>3193.17</v>
      </c>
      <c r="J93" s="274">
        <v>899.27</v>
      </c>
      <c r="K93" s="196"/>
      <c r="L93" s="240"/>
      <c r="M93" s="206"/>
      <c r="N93" s="211"/>
      <c r="O93" s="218"/>
      <c r="P93" s="222"/>
      <c r="Q93" s="281"/>
      <c r="R93" s="173"/>
      <c r="S93" s="8">
        <f t="shared" si="3"/>
        <v>11808.79</v>
      </c>
      <c r="T93" s="1">
        <f t="shared" si="4"/>
        <v>4</v>
      </c>
      <c r="U93" s="31">
        <f t="shared" si="5"/>
        <v>2952.1975000000002</v>
      </c>
    </row>
    <row r="94" spans="1:21">
      <c r="A94" s="1">
        <v>81</v>
      </c>
      <c r="C94" s="42">
        <v>15035622</v>
      </c>
      <c r="D94" s="42"/>
      <c r="E94" s="11" t="s">
        <v>280</v>
      </c>
      <c r="F94" s="11" t="s">
        <v>280</v>
      </c>
      <c r="G94" s="180"/>
      <c r="H94" s="185"/>
      <c r="I94" s="233"/>
      <c r="J94" s="274">
        <v>9613.6</v>
      </c>
      <c r="K94" s="195">
        <v>7418.39</v>
      </c>
      <c r="L94" s="238">
        <v>4620.12</v>
      </c>
      <c r="M94" s="205">
        <v>5185.95</v>
      </c>
      <c r="N94" s="212">
        <v>5362.7</v>
      </c>
      <c r="O94" s="217">
        <v>7018.14</v>
      </c>
      <c r="P94" s="220">
        <v>10109.26</v>
      </c>
      <c r="Q94" s="280">
        <v>9251.14</v>
      </c>
      <c r="R94" s="172">
        <v>8131.21</v>
      </c>
      <c r="S94" s="8">
        <f t="shared" si="3"/>
        <v>66710.510000000009</v>
      </c>
      <c r="T94" s="1">
        <f t="shared" si="4"/>
        <v>9</v>
      </c>
      <c r="U94" s="31">
        <f t="shared" si="5"/>
        <v>7412.2788888888899</v>
      </c>
    </row>
    <row r="95" spans="1:21">
      <c r="A95" s="1">
        <v>68</v>
      </c>
      <c r="B95" s="1" t="s">
        <v>548</v>
      </c>
      <c r="C95" s="4">
        <v>7004600</v>
      </c>
      <c r="D95" s="4">
        <v>119</v>
      </c>
      <c r="E95" s="1" t="s">
        <v>281</v>
      </c>
      <c r="F95" s="1" t="s">
        <v>281</v>
      </c>
      <c r="G95" s="179">
        <v>1496.88</v>
      </c>
      <c r="H95" s="184">
        <v>1402.32</v>
      </c>
      <c r="I95" s="229">
        <v>1415.52</v>
      </c>
      <c r="J95" s="274">
        <v>1734.66</v>
      </c>
      <c r="K95" s="195">
        <v>1407.36</v>
      </c>
      <c r="L95" s="238">
        <v>1342.74</v>
      </c>
      <c r="M95" s="205">
        <v>1373.52</v>
      </c>
      <c r="N95" s="212">
        <v>1463.16</v>
      </c>
      <c r="O95" s="217">
        <v>1711.02</v>
      </c>
      <c r="P95" s="220">
        <v>1660.44</v>
      </c>
      <c r="Q95" s="280">
        <v>1524.18</v>
      </c>
      <c r="R95" s="172">
        <v>1473.72</v>
      </c>
      <c r="S95" s="8">
        <f t="shared" si="3"/>
        <v>18005.52</v>
      </c>
      <c r="T95" s="1">
        <f t="shared" si="4"/>
        <v>12</v>
      </c>
      <c r="U95" s="31">
        <f t="shared" si="5"/>
        <v>1500.46</v>
      </c>
    </row>
    <row r="96" spans="1:21">
      <c r="A96" s="1">
        <v>69</v>
      </c>
      <c r="B96" s="1" t="s">
        <v>543</v>
      </c>
      <c r="C96" s="4">
        <v>15021222</v>
      </c>
      <c r="D96" s="4">
        <v>568</v>
      </c>
      <c r="E96" s="1" t="s">
        <v>91</v>
      </c>
      <c r="F96" s="1" t="s">
        <v>91</v>
      </c>
      <c r="G96" s="179">
        <v>19559.509999999998</v>
      </c>
      <c r="H96" s="184">
        <v>18649.84</v>
      </c>
      <c r="I96" s="229">
        <v>18539.75</v>
      </c>
      <c r="J96" s="274">
        <v>23603.07</v>
      </c>
      <c r="K96" s="195">
        <v>16154.78</v>
      </c>
      <c r="L96" s="238">
        <v>11654.49</v>
      </c>
      <c r="M96" s="205">
        <v>12006.48</v>
      </c>
      <c r="N96" s="212">
        <v>12765.9</v>
      </c>
      <c r="O96" s="218"/>
      <c r="P96" s="222"/>
      <c r="Q96" s="281"/>
      <c r="R96" s="173"/>
      <c r="S96" s="8">
        <f t="shared" si="3"/>
        <v>132933.82</v>
      </c>
      <c r="T96" s="1">
        <f t="shared" si="4"/>
        <v>8</v>
      </c>
      <c r="U96" s="31">
        <f t="shared" si="5"/>
        <v>16616.727500000001</v>
      </c>
    </row>
    <row r="97" spans="1:21">
      <c r="B97" s="1" t="s">
        <v>543</v>
      </c>
      <c r="C97" s="4">
        <v>15036315</v>
      </c>
      <c r="D97" s="4"/>
      <c r="E97" s="1" t="s">
        <v>91</v>
      </c>
      <c r="F97" s="1" t="s">
        <v>91</v>
      </c>
      <c r="G97" s="180"/>
      <c r="H97" s="185"/>
      <c r="I97" s="233"/>
      <c r="J97" s="275"/>
      <c r="K97" s="196"/>
      <c r="L97" s="240"/>
      <c r="M97" s="206"/>
      <c r="N97" s="212">
        <v>1608.6</v>
      </c>
      <c r="O97" s="217">
        <v>19257.66</v>
      </c>
      <c r="P97" s="220">
        <v>23477.45</v>
      </c>
      <c r="Q97" s="280">
        <v>18961.63</v>
      </c>
      <c r="R97" s="172">
        <v>18186.75</v>
      </c>
      <c r="S97" s="8">
        <f t="shared" si="3"/>
        <v>81492.09</v>
      </c>
      <c r="T97" s="1">
        <f t="shared" si="4"/>
        <v>5</v>
      </c>
      <c r="U97" s="31">
        <f t="shared" si="5"/>
        <v>16298.418</v>
      </c>
    </row>
    <row r="98" spans="1:21">
      <c r="A98" s="1">
        <v>82</v>
      </c>
      <c r="C98" s="4">
        <v>15032636</v>
      </c>
      <c r="D98" s="4"/>
      <c r="E98" s="1" t="s">
        <v>574</v>
      </c>
      <c r="F98" s="1" t="s">
        <v>574</v>
      </c>
      <c r="G98" s="180"/>
      <c r="H98" s="185"/>
      <c r="I98" s="233"/>
      <c r="J98" s="275"/>
      <c r="K98" s="196"/>
      <c r="L98" s="240"/>
      <c r="M98" s="206"/>
      <c r="N98" s="211"/>
      <c r="O98" s="217">
        <v>1804.57</v>
      </c>
      <c r="P98" s="220">
        <v>12108.02</v>
      </c>
      <c r="Q98" s="280">
        <v>16499.72</v>
      </c>
      <c r="R98" s="172">
        <v>12660.83</v>
      </c>
      <c r="S98" s="8">
        <f t="shared" si="3"/>
        <v>43073.14</v>
      </c>
      <c r="T98" s="1">
        <f t="shared" si="4"/>
        <v>4</v>
      </c>
      <c r="U98" s="31">
        <f t="shared" si="5"/>
        <v>10768.285</v>
      </c>
    </row>
    <row r="99" spans="1:21">
      <c r="A99" s="1">
        <v>70</v>
      </c>
      <c r="B99" s="1" t="s">
        <v>530</v>
      </c>
      <c r="C99" s="4">
        <v>13032900</v>
      </c>
      <c r="D99" s="4"/>
      <c r="E99" s="1" t="s">
        <v>569</v>
      </c>
      <c r="F99" s="1" t="s">
        <v>568</v>
      </c>
      <c r="G99" s="181">
        <v>214.58</v>
      </c>
      <c r="H99" s="32"/>
      <c r="I99" s="229">
        <v>123.32</v>
      </c>
      <c r="J99" s="274">
        <v>170.07</v>
      </c>
      <c r="K99" s="195">
        <v>172.12</v>
      </c>
      <c r="L99" s="238">
        <v>147</v>
      </c>
      <c r="M99" s="205"/>
      <c r="N99" s="212"/>
      <c r="O99" s="217">
        <v>112.83</v>
      </c>
      <c r="P99" s="220">
        <v>245.26</v>
      </c>
      <c r="Q99" s="280">
        <v>165.72</v>
      </c>
      <c r="R99" s="172">
        <v>188.76</v>
      </c>
      <c r="S99" s="8">
        <f t="shared" si="3"/>
        <v>1539.6599999999999</v>
      </c>
      <c r="T99" s="1">
        <f t="shared" si="4"/>
        <v>9</v>
      </c>
      <c r="U99" s="31">
        <f t="shared" si="5"/>
        <v>171.07333333333332</v>
      </c>
    </row>
    <row r="100" spans="1:21">
      <c r="A100" s="1">
        <v>71</v>
      </c>
      <c r="B100" s="1" t="s">
        <v>533</v>
      </c>
      <c r="C100" s="4">
        <v>7004800</v>
      </c>
      <c r="D100" s="4"/>
      <c r="E100" s="1" t="s">
        <v>283</v>
      </c>
      <c r="F100" s="1" t="s">
        <v>580</v>
      </c>
      <c r="G100" s="179">
        <v>2874.96</v>
      </c>
      <c r="H100" s="184">
        <v>2378.4</v>
      </c>
      <c r="I100" s="229">
        <v>3027.04</v>
      </c>
      <c r="J100" s="274">
        <v>3340.17</v>
      </c>
      <c r="K100" s="195">
        <v>2466.54</v>
      </c>
      <c r="L100" s="238">
        <v>1975.5</v>
      </c>
      <c r="M100" s="205">
        <v>1251.9100000000001</v>
      </c>
      <c r="N100" s="212">
        <v>1201.93</v>
      </c>
      <c r="O100" s="217">
        <v>2228.9299999999998</v>
      </c>
      <c r="P100" s="220">
        <v>3163.61</v>
      </c>
      <c r="Q100" s="280">
        <v>2833.27</v>
      </c>
      <c r="R100" s="172">
        <v>2951.02</v>
      </c>
      <c r="S100" s="8">
        <f t="shared" si="3"/>
        <v>29693.280000000002</v>
      </c>
      <c r="T100" s="1">
        <f t="shared" si="4"/>
        <v>12</v>
      </c>
      <c r="U100" s="31">
        <f t="shared" si="5"/>
        <v>2474.44</v>
      </c>
    </row>
    <row r="101" spans="1:21">
      <c r="A101" s="1">
        <v>72</v>
      </c>
      <c r="B101" s="1" t="s">
        <v>549</v>
      </c>
      <c r="C101" s="4">
        <v>7005200</v>
      </c>
      <c r="D101" s="4"/>
      <c r="E101" s="1" t="s">
        <v>284</v>
      </c>
      <c r="F101" s="1" t="s">
        <v>581</v>
      </c>
      <c r="G101" s="179">
        <v>4887.9399999999996</v>
      </c>
      <c r="H101" s="184">
        <v>3918.83</v>
      </c>
      <c r="I101" s="229">
        <v>4833.2700000000004</v>
      </c>
      <c r="J101" s="274">
        <v>5293.31</v>
      </c>
      <c r="K101" s="195">
        <v>4393.43</v>
      </c>
      <c r="L101" s="238">
        <v>4000.28</v>
      </c>
      <c r="M101" s="205">
        <v>4486.12</v>
      </c>
      <c r="N101" s="212">
        <v>4589.97</v>
      </c>
      <c r="O101" s="217">
        <v>4645.0600000000004</v>
      </c>
      <c r="P101" s="220">
        <v>5163.3999999999996</v>
      </c>
      <c r="Q101" s="280">
        <v>4608.32</v>
      </c>
      <c r="R101" s="172">
        <v>3475.26</v>
      </c>
      <c r="S101" s="8">
        <f t="shared" si="3"/>
        <v>54295.19</v>
      </c>
      <c r="T101" s="1">
        <f t="shared" si="4"/>
        <v>12</v>
      </c>
      <c r="U101" s="31">
        <f t="shared" si="5"/>
        <v>4524.5991666666669</v>
      </c>
    </row>
    <row r="102" spans="1:21">
      <c r="A102" s="1">
        <v>73</v>
      </c>
      <c r="B102" s="1" t="s">
        <v>547</v>
      </c>
      <c r="C102" s="4">
        <v>7004900</v>
      </c>
      <c r="D102" s="4">
        <v>120</v>
      </c>
      <c r="E102" s="1" t="s">
        <v>393</v>
      </c>
      <c r="F102" s="1" t="s">
        <v>393</v>
      </c>
      <c r="G102" s="181">
        <v>258</v>
      </c>
      <c r="H102" s="184">
        <v>227.7</v>
      </c>
      <c r="I102" s="229">
        <v>247.2</v>
      </c>
      <c r="J102" s="274">
        <v>280.8</v>
      </c>
      <c r="K102" s="195">
        <v>258</v>
      </c>
      <c r="L102" s="238">
        <v>234</v>
      </c>
      <c r="M102" s="205">
        <v>227.4</v>
      </c>
      <c r="N102" s="212">
        <v>253.2</v>
      </c>
      <c r="O102" s="217">
        <v>266.39999999999998</v>
      </c>
      <c r="P102" s="220">
        <v>247.2</v>
      </c>
      <c r="Q102" s="280">
        <v>271.2</v>
      </c>
      <c r="R102" s="172">
        <v>224.4</v>
      </c>
      <c r="S102" s="8">
        <f t="shared" si="3"/>
        <v>2995.5</v>
      </c>
      <c r="T102" s="1">
        <f t="shared" si="4"/>
        <v>12</v>
      </c>
      <c r="U102" s="31">
        <f t="shared" si="5"/>
        <v>249.625</v>
      </c>
    </row>
    <row r="103" spans="1:21">
      <c r="A103" s="1">
        <v>74</v>
      </c>
      <c r="B103" s="1" t="s">
        <v>532</v>
      </c>
      <c r="C103" s="4">
        <v>7002901</v>
      </c>
      <c r="D103" s="4">
        <v>121</v>
      </c>
      <c r="E103" s="1" t="s">
        <v>502</v>
      </c>
      <c r="F103" s="1" t="s">
        <v>502</v>
      </c>
      <c r="G103" s="179">
        <v>4033.21</v>
      </c>
      <c r="H103" s="184">
        <v>3432.43</v>
      </c>
      <c r="I103" s="229">
        <v>2727.28</v>
      </c>
      <c r="J103" s="274">
        <v>3892.24</v>
      </c>
      <c r="K103" s="195">
        <v>2778.16</v>
      </c>
      <c r="L103" s="238">
        <v>2244.4699999999998</v>
      </c>
      <c r="M103" s="205">
        <v>2146.52</v>
      </c>
      <c r="N103" s="212">
        <v>2348.38</v>
      </c>
      <c r="O103" s="217">
        <v>3091.92</v>
      </c>
      <c r="P103" s="220">
        <v>3679.39</v>
      </c>
      <c r="Q103" s="280">
        <v>3095.78</v>
      </c>
      <c r="R103" s="172">
        <v>2993.95</v>
      </c>
      <c r="S103" s="8">
        <f t="shared" si="3"/>
        <v>36463.729999999996</v>
      </c>
      <c r="T103" s="1">
        <f t="shared" si="4"/>
        <v>12</v>
      </c>
      <c r="U103" s="31">
        <f t="shared" si="5"/>
        <v>3038.6441666666665</v>
      </c>
    </row>
    <row r="104" spans="1:21">
      <c r="A104" s="1">
        <v>75</v>
      </c>
      <c r="B104" s="1" t="s">
        <v>539</v>
      </c>
      <c r="C104" s="4">
        <v>7007100</v>
      </c>
      <c r="D104" s="4">
        <v>180</v>
      </c>
      <c r="E104" s="1" t="s">
        <v>286</v>
      </c>
      <c r="F104" s="1" t="s">
        <v>286</v>
      </c>
      <c r="G104" s="180"/>
      <c r="H104" s="185"/>
      <c r="I104" s="233"/>
      <c r="J104" s="275"/>
      <c r="K104" s="196"/>
      <c r="L104" s="240"/>
      <c r="M104" s="206"/>
      <c r="N104" s="211"/>
      <c r="O104" s="218"/>
      <c r="P104" s="222"/>
      <c r="Q104" s="281"/>
      <c r="R104" s="173"/>
      <c r="S104" s="8">
        <f t="shared" si="3"/>
        <v>0</v>
      </c>
      <c r="T104" s="1">
        <f t="shared" si="4"/>
        <v>0</v>
      </c>
      <c r="U104" s="31">
        <f t="shared" si="5"/>
        <v>0</v>
      </c>
    </row>
    <row r="105" spans="1:21">
      <c r="A105" s="1">
        <v>76</v>
      </c>
      <c r="B105" s="1" t="s">
        <v>531</v>
      </c>
      <c r="C105" s="4">
        <v>7009800</v>
      </c>
      <c r="D105" s="4"/>
      <c r="E105" s="1" t="s">
        <v>113</v>
      </c>
      <c r="F105" s="1" t="s">
        <v>102</v>
      </c>
      <c r="G105" s="181">
        <v>348</v>
      </c>
      <c r="H105" s="184">
        <v>398.78</v>
      </c>
      <c r="I105" s="229">
        <v>95.7</v>
      </c>
      <c r="J105" s="274">
        <v>249</v>
      </c>
      <c r="K105" s="195">
        <v>216.9</v>
      </c>
      <c r="L105" s="238">
        <v>159</v>
      </c>
      <c r="M105" s="205">
        <v>52.8</v>
      </c>
      <c r="N105" s="212"/>
      <c r="O105" s="217">
        <v>68.77</v>
      </c>
      <c r="P105" s="220">
        <v>341.01</v>
      </c>
      <c r="Q105" s="280">
        <v>185.79</v>
      </c>
      <c r="R105" s="172">
        <v>241.5</v>
      </c>
      <c r="S105" s="8">
        <f t="shared" si="3"/>
        <v>2357.25</v>
      </c>
      <c r="T105" s="1">
        <f t="shared" si="4"/>
        <v>11</v>
      </c>
      <c r="U105" s="31">
        <f t="shared" si="5"/>
        <v>214.29545454545453</v>
      </c>
    </row>
    <row r="106" spans="1:21">
      <c r="C106" s="4">
        <v>15036275</v>
      </c>
      <c r="D106" s="4"/>
      <c r="E106" s="1" t="s">
        <v>589</v>
      </c>
      <c r="F106" s="1" t="s">
        <v>590</v>
      </c>
      <c r="G106" s="180"/>
      <c r="H106" s="185"/>
      <c r="I106" s="233"/>
      <c r="J106" s="275"/>
      <c r="K106" s="196"/>
      <c r="L106" s="240"/>
      <c r="M106" s="206"/>
      <c r="N106" s="211"/>
      <c r="O106" s="218"/>
      <c r="P106" s="220">
        <v>8631.9</v>
      </c>
      <c r="Q106" s="280">
        <v>9046.83</v>
      </c>
      <c r="R106" s="172">
        <v>11148.61</v>
      </c>
      <c r="S106" s="8">
        <f t="shared" si="3"/>
        <v>28827.34</v>
      </c>
      <c r="T106" s="1">
        <f t="shared" si="4"/>
        <v>3</v>
      </c>
      <c r="U106" s="31">
        <f t="shared" si="5"/>
        <v>9609.1133333333328</v>
      </c>
    </row>
    <row r="107" spans="1:21">
      <c r="A107" s="1">
        <v>77</v>
      </c>
      <c r="B107" s="1" t="s">
        <v>532</v>
      </c>
      <c r="C107" s="4">
        <v>15030830</v>
      </c>
      <c r="D107" s="4"/>
      <c r="E107" s="1" t="s">
        <v>564</v>
      </c>
      <c r="F107" s="1" t="s">
        <v>564</v>
      </c>
      <c r="G107" s="179">
        <v>4683.33</v>
      </c>
      <c r="H107" s="184">
        <v>4390.3599999999997</v>
      </c>
      <c r="I107" s="229">
        <v>3823.24</v>
      </c>
      <c r="J107" s="274">
        <v>5217.17</v>
      </c>
      <c r="K107" s="195">
        <v>3692.38</v>
      </c>
      <c r="L107" s="238">
        <v>2947.33</v>
      </c>
      <c r="M107" s="212">
        <v>2718.62</v>
      </c>
      <c r="N107" s="212">
        <v>3219.64</v>
      </c>
      <c r="O107" s="217">
        <v>4530.54</v>
      </c>
      <c r="P107" s="220">
        <v>5376.86</v>
      </c>
      <c r="Q107" s="280">
        <v>4582.8</v>
      </c>
      <c r="R107" s="172">
        <v>4141.8100000000004</v>
      </c>
      <c r="S107" s="8">
        <f t="shared" si="3"/>
        <v>49324.079999999994</v>
      </c>
      <c r="T107" s="1">
        <f t="shared" si="4"/>
        <v>12</v>
      </c>
      <c r="U107" s="31">
        <f t="shared" si="5"/>
        <v>4110.3399999999992</v>
      </c>
    </row>
    <row r="108" spans="1:21">
      <c r="C108" s="4">
        <v>15025456</v>
      </c>
      <c r="D108" s="4"/>
      <c r="E108" s="1" t="s">
        <v>595</v>
      </c>
      <c r="F108" s="1" t="s">
        <v>596</v>
      </c>
      <c r="G108" s="179"/>
      <c r="H108" s="184"/>
      <c r="I108" s="229"/>
      <c r="J108" s="274"/>
      <c r="K108" s="195"/>
      <c r="L108" s="238"/>
      <c r="M108" s="280">
        <v>79.14</v>
      </c>
      <c r="N108" s="280">
        <v>59.88</v>
      </c>
      <c r="O108" s="280">
        <v>51.48</v>
      </c>
      <c r="P108" s="280">
        <v>89.28</v>
      </c>
      <c r="Q108" s="280">
        <v>77.099999999999994</v>
      </c>
      <c r="R108" s="181">
        <v>104.1</v>
      </c>
      <c r="S108" s="8">
        <f t="shared" si="3"/>
        <v>460.98</v>
      </c>
      <c r="T108" s="1">
        <f t="shared" si="4"/>
        <v>6</v>
      </c>
      <c r="U108" s="31">
        <f t="shared" si="5"/>
        <v>76.83</v>
      </c>
    </row>
    <row r="109" spans="1:21">
      <c r="A109" s="1">
        <v>78</v>
      </c>
      <c r="B109" s="22" t="s">
        <v>550</v>
      </c>
      <c r="C109" s="51">
        <v>7007701</v>
      </c>
      <c r="D109" s="51">
        <v>122</v>
      </c>
      <c r="E109" s="52" t="s">
        <v>98</v>
      </c>
      <c r="F109" s="52" t="s">
        <v>98</v>
      </c>
      <c r="G109" s="225">
        <v>10873.5</v>
      </c>
      <c r="H109" s="272">
        <v>10062.719999999999</v>
      </c>
      <c r="I109" s="232">
        <v>9574.36</v>
      </c>
      <c r="J109" s="277">
        <v>13969.29</v>
      </c>
      <c r="K109" s="236">
        <v>9506.8799999999992</v>
      </c>
      <c r="L109" s="241">
        <v>6795.52</v>
      </c>
      <c r="M109" s="278">
        <v>7068.88</v>
      </c>
      <c r="N109" s="247">
        <v>8973.5400000000009</v>
      </c>
      <c r="O109" s="249">
        <v>11386.56</v>
      </c>
      <c r="P109" s="253">
        <v>12342.62</v>
      </c>
      <c r="Q109" s="283">
        <v>9285.7800000000007</v>
      </c>
      <c r="R109" s="260">
        <v>8333.1</v>
      </c>
      <c r="S109" s="33">
        <f t="shared" si="3"/>
        <v>118172.75</v>
      </c>
      <c r="T109" s="22">
        <f t="shared" si="4"/>
        <v>12</v>
      </c>
      <c r="U109" s="34">
        <f t="shared" si="5"/>
        <v>9847.7291666666661</v>
      </c>
    </row>
    <row r="110" spans="1:21">
      <c r="G110" s="31"/>
      <c r="H110" s="31"/>
      <c r="I110" s="31"/>
      <c r="J110" s="31"/>
      <c r="K110" s="31"/>
      <c r="L110" s="31"/>
      <c r="M110" s="31"/>
    </row>
    <row r="111" spans="1:21">
      <c r="E111" s="1" t="s">
        <v>140</v>
      </c>
      <c r="F111" s="1" t="s">
        <v>140</v>
      </c>
      <c r="G111" s="31">
        <f t="shared" ref="G111:Q111" si="6">+SUM(G2:G109)</f>
        <v>939791.23999999964</v>
      </c>
      <c r="H111" s="31">
        <f t="shared" si="6"/>
        <v>813538.83999999985</v>
      </c>
      <c r="I111" s="31">
        <f t="shared" si="6"/>
        <v>805352.78999999992</v>
      </c>
      <c r="J111" s="31">
        <f t="shared" si="6"/>
        <v>1096327.6900000002</v>
      </c>
      <c r="K111" s="31">
        <f t="shared" si="6"/>
        <v>713930.40000000014</v>
      </c>
      <c r="L111" s="31">
        <f t="shared" si="6"/>
        <v>509746.30000000005</v>
      </c>
      <c r="M111" s="31">
        <f t="shared" si="6"/>
        <v>564061.03000000014</v>
      </c>
      <c r="N111" s="31">
        <f t="shared" si="6"/>
        <v>605430.52000000014</v>
      </c>
      <c r="O111" s="31">
        <f t="shared" si="6"/>
        <v>801636.89</v>
      </c>
      <c r="P111" s="31">
        <f t="shared" si="6"/>
        <v>1080034.8299999996</v>
      </c>
      <c r="Q111" s="31">
        <f t="shared" si="6"/>
        <v>962642.85999999987</v>
      </c>
      <c r="R111" s="31">
        <f>SUM(R2:R109)</f>
        <v>881356.2</v>
      </c>
      <c r="S111" s="31">
        <f>SUM(S4:S109)</f>
        <v>9517175.0899999961</v>
      </c>
      <c r="U111" s="31">
        <f>+S111/10</f>
        <v>951717.50899999961</v>
      </c>
    </row>
    <row r="112" spans="1:21">
      <c r="E112" s="1" t="s">
        <v>348</v>
      </c>
      <c r="F112" s="1" t="s">
        <v>348</v>
      </c>
      <c r="G112" s="68">
        <f>-G104-G91-G78-G12-G4-G35-G69</f>
        <v>-3955.0899999999997</v>
      </c>
      <c r="H112" s="68">
        <f>-H104-H99-H92-H91-H78-H62-H28-H12-H11-H4-H35-H69</f>
        <v>-3564.96</v>
      </c>
      <c r="I112" s="68">
        <f>-I104-I91-I78-I62-I46-I33-I28-I12-I4-I70-I35-I69</f>
        <v>-24526.940000000002</v>
      </c>
      <c r="J112" s="68">
        <f>-J104-J91-J37-J78-J62-J58-J56-J33-J11-J70-J35-J69</f>
        <v>-34637.770000000004</v>
      </c>
      <c r="K112" s="68">
        <f>-K104-K93--K91-K78-K75-K62-K33-K14-K12-K11-K4-K70-K35-K69</f>
        <v>-6527.76</v>
      </c>
      <c r="L112" s="68">
        <f>-L93-L91-L78-L75-L61-L51-L46-L33-L28-L12-L4-L35-L69</f>
        <v>-29736.82</v>
      </c>
      <c r="M112" s="68">
        <f>-M107-M99-M93-M91-M78-M62-M61-M50-M46-M33-M28-M14-M12-M11-M4-M67-M69-M108</f>
        <v>-42773.579999999994</v>
      </c>
      <c r="N112" s="68">
        <f>-N105-N99-N93-N91-N78-N62-N61-N46-N38-N33-N28-N26-N14-N12-N11-N4-N35-N53-N67-N69-N108</f>
        <v>-61096.499999999993</v>
      </c>
      <c r="O112" s="68">
        <f>-O104-O78-O70-O61-O58-O41-O38-O33-O28-O23--O14-O12-O11-O4-O53-O67-O69-O108</f>
        <v>-46626.69000000001</v>
      </c>
      <c r="P112" s="68">
        <f>-P4-P11-P12-P23-P28-P33-P46-P61-P70-P78-P91-P108</f>
        <v>-79466.23</v>
      </c>
      <c r="Q112" s="68">
        <f>-Q91-Q78-Q70-Q62-Q61-Q53-Q38-Q33-Q28-Q23-Q12-Q11-Q4</f>
        <v>-63173.37999999999</v>
      </c>
      <c r="R112" s="68">
        <f>-R108-R91-R85-R83-R82-R81-R80-R78-R77-R75-R70-R67-R61-R53-R38-R36-R33-R13-R12-R11-R4-R62-R84</f>
        <v>-64032.660000000011</v>
      </c>
      <c r="S112" s="31">
        <f t="shared" ref="S112:S118" si="7">+SUM(G112:R112)</f>
        <v>-460118.38</v>
      </c>
    </row>
    <row r="113" spans="3:19">
      <c r="E113" s="1" t="s">
        <v>349</v>
      </c>
      <c r="F113" s="1" t="s">
        <v>349</v>
      </c>
      <c r="G113" s="68">
        <f>'2014'!R50+'2014'!P24+'2014'!Q24+'2014'!R24+'2014'!Q38+'2014'!O38+'2014'!N38+'2014'!M38+'2014'!L38+6192.76+11628.64</f>
        <v>57711.45</v>
      </c>
      <c r="H113" s="68">
        <f>G12+'2014'!R10+1886.89</f>
        <v>5417.1500000000005</v>
      </c>
      <c r="I113" s="68">
        <f>H92</f>
        <v>1138.3499999999999</v>
      </c>
      <c r="J113" s="68">
        <f>I46+I33+I28+H28+K28+I12+H12</f>
        <v>26477.75</v>
      </c>
      <c r="K113" s="68">
        <f>J56-K28</f>
        <v>15645.9</v>
      </c>
      <c r="L113" s="68">
        <f>K62+J62+I62+H62</f>
        <v>395.86</v>
      </c>
      <c r="M113" s="68">
        <f>L61+L12+K12</f>
        <v>14487.38</v>
      </c>
      <c r="N113" s="68">
        <f>M107+M61+M14</f>
        <v>21750.239999999998</v>
      </c>
      <c r="O113" s="68">
        <f>N61+N35+N12+M12+L35+K35+K70+J70+J35+I35+I70+H35+G35</f>
        <v>22605.01</v>
      </c>
      <c r="P113" s="68">
        <f>O69+N69+M69+L69+K69+J69+I69+H69+G69+O67+N67+M67+N62+M62+O61+O53+N53+N46+M46+L46</f>
        <v>62233.33</v>
      </c>
      <c r="Q113" s="68">
        <f>P108+O108+N108+M108+P61+P46+N26+P23+P12+O12</f>
        <v>80766.19</v>
      </c>
      <c r="R113" s="68">
        <f>Q61+Q28+P28+Q23+Q11+P11+O11+Q62+5500+606</f>
        <v>41546.21</v>
      </c>
      <c r="S113" s="31">
        <f t="shared" si="7"/>
        <v>350174.82</v>
      </c>
    </row>
    <row r="114" spans="3:19">
      <c r="E114" s="1" t="s">
        <v>301</v>
      </c>
      <c r="F114" s="1" t="s">
        <v>301</v>
      </c>
      <c r="G114" s="69">
        <f t="shared" ref="G114:P114" si="8">+SUM(G111:G113)</f>
        <v>993547.59999999963</v>
      </c>
      <c r="H114" s="69">
        <f t="shared" si="8"/>
        <v>815391.02999999991</v>
      </c>
      <c r="I114" s="69">
        <f t="shared" si="8"/>
        <v>781964.19999999984</v>
      </c>
      <c r="J114" s="69">
        <f t="shared" si="8"/>
        <v>1088167.6700000002</v>
      </c>
      <c r="K114" s="69">
        <f>+SUM(K111:K113)</f>
        <v>723048.54000000015</v>
      </c>
      <c r="L114" s="69">
        <f t="shared" si="8"/>
        <v>480405.34</v>
      </c>
      <c r="M114" s="69">
        <f t="shared" si="8"/>
        <v>535774.83000000007</v>
      </c>
      <c r="N114" s="69">
        <f t="shared" si="8"/>
        <v>566084.26000000013</v>
      </c>
      <c r="O114" s="69">
        <f t="shared" si="8"/>
        <v>777615.21</v>
      </c>
      <c r="P114" s="69">
        <f t="shared" si="8"/>
        <v>1062801.9299999997</v>
      </c>
      <c r="Q114" s="69">
        <f>+SUM(Q111:Q113)</f>
        <v>980235.66999999993</v>
      </c>
      <c r="R114" s="69">
        <f>+SUM(R111:R113)</f>
        <v>858869.74999999988</v>
      </c>
      <c r="S114" s="34">
        <f t="shared" si="7"/>
        <v>9663906.0299999975</v>
      </c>
    </row>
    <row r="115" spans="3:19">
      <c r="E115" s="67" t="s">
        <v>304</v>
      </c>
      <c r="F115" s="67" t="s">
        <v>304</v>
      </c>
      <c r="G115" s="68">
        <f t="shared" ref="G115:R115" si="9">+G114/6*4</f>
        <v>662365.06666666642</v>
      </c>
      <c r="H115" s="68">
        <f t="shared" si="9"/>
        <v>543594.0199999999</v>
      </c>
      <c r="I115" s="68">
        <f t="shared" si="9"/>
        <v>521309.46666666656</v>
      </c>
      <c r="J115" s="68">
        <f t="shared" si="9"/>
        <v>725445.1133333334</v>
      </c>
      <c r="K115" s="68">
        <f t="shared" si="9"/>
        <v>482032.3600000001</v>
      </c>
      <c r="L115" s="68">
        <f t="shared" si="9"/>
        <v>320270.22666666668</v>
      </c>
      <c r="M115" s="68">
        <f>+M114/6*4</f>
        <v>357183.22000000003</v>
      </c>
      <c r="N115" s="68">
        <f t="shared" si="9"/>
        <v>377389.50666666677</v>
      </c>
      <c r="O115" s="68">
        <f t="shared" si="9"/>
        <v>518410.13999999996</v>
      </c>
      <c r="P115" s="68">
        <f t="shared" si="9"/>
        <v>708534.61999999976</v>
      </c>
      <c r="Q115" s="68">
        <f t="shared" si="9"/>
        <v>653490.44666666666</v>
      </c>
      <c r="R115" s="68">
        <f t="shared" si="9"/>
        <v>572579.83333333326</v>
      </c>
      <c r="S115" s="31">
        <f t="shared" si="7"/>
        <v>6442604.0199999996</v>
      </c>
    </row>
    <row r="116" spans="3:19">
      <c r="E116" s="67" t="s">
        <v>305</v>
      </c>
      <c r="F116" s="67" t="s">
        <v>305</v>
      </c>
      <c r="G116" s="68">
        <f t="shared" ref="G116:R116" si="10">+G114/6*2</f>
        <v>331182.53333333321</v>
      </c>
      <c r="H116" s="68">
        <f t="shared" si="10"/>
        <v>271797.00999999995</v>
      </c>
      <c r="I116" s="68">
        <f t="shared" si="10"/>
        <v>260654.73333333328</v>
      </c>
      <c r="J116" s="68">
        <f t="shared" si="10"/>
        <v>362722.5566666667</v>
      </c>
      <c r="K116" s="68">
        <f t="shared" si="10"/>
        <v>241016.18000000005</v>
      </c>
      <c r="L116" s="68">
        <f t="shared" si="10"/>
        <v>160135.11333333334</v>
      </c>
      <c r="M116" s="68">
        <f>+M114/6*2</f>
        <v>178591.61000000002</v>
      </c>
      <c r="N116" s="68">
        <f t="shared" si="10"/>
        <v>188694.75333333338</v>
      </c>
      <c r="O116" s="68">
        <f t="shared" si="10"/>
        <v>259205.06999999998</v>
      </c>
      <c r="P116" s="68">
        <f t="shared" si="10"/>
        <v>354267.30999999988</v>
      </c>
      <c r="Q116" s="68">
        <f t="shared" si="10"/>
        <v>326745.22333333333</v>
      </c>
      <c r="R116" s="68">
        <f t="shared" si="10"/>
        <v>286289.91666666663</v>
      </c>
      <c r="S116" s="31">
        <f t="shared" si="7"/>
        <v>3221302.01</v>
      </c>
    </row>
    <row r="117" spans="3:19">
      <c r="E117" s="1" t="s">
        <v>302</v>
      </c>
      <c r="F117" s="1" t="s">
        <v>302</v>
      </c>
      <c r="G117" s="68">
        <f t="shared" ref="G117:R117" si="11">+G116*0.01</f>
        <v>3311.8253333333323</v>
      </c>
      <c r="H117" s="68">
        <f t="shared" si="11"/>
        <v>2717.9700999999995</v>
      </c>
      <c r="I117" s="68">
        <f t="shared" si="11"/>
        <v>2606.547333333333</v>
      </c>
      <c r="J117" s="68">
        <f t="shared" si="11"/>
        <v>3627.225566666667</v>
      </c>
      <c r="K117" s="68">
        <f t="shared" si="11"/>
        <v>2410.1618000000008</v>
      </c>
      <c r="L117" s="68">
        <f t="shared" si="11"/>
        <v>1601.3511333333336</v>
      </c>
      <c r="M117" s="68">
        <f>+M116*0.01</f>
        <v>1785.9161000000001</v>
      </c>
      <c r="N117" s="68">
        <f t="shared" si="11"/>
        <v>1886.9475333333339</v>
      </c>
      <c r="O117" s="68">
        <f t="shared" si="11"/>
        <v>2592.0506999999998</v>
      </c>
      <c r="P117" s="68">
        <f t="shared" si="11"/>
        <v>3542.6730999999991</v>
      </c>
      <c r="Q117" s="68">
        <f t="shared" si="11"/>
        <v>3267.4522333333334</v>
      </c>
      <c r="R117" s="68">
        <f t="shared" si="11"/>
        <v>2862.8991666666661</v>
      </c>
      <c r="S117" s="31">
        <f t="shared" si="7"/>
        <v>32213.020100000002</v>
      </c>
    </row>
    <row r="118" spans="3:19">
      <c r="E118" s="1" t="s">
        <v>303</v>
      </c>
      <c r="F118" s="1" t="s">
        <v>303</v>
      </c>
      <c r="G118" s="71">
        <f t="shared" ref="G118:R118" si="12">+G115-G117</f>
        <v>659053.24133333308</v>
      </c>
      <c r="H118" s="71">
        <f t="shared" si="12"/>
        <v>540876.04989999987</v>
      </c>
      <c r="I118" s="71">
        <f t="shared" si="12"/>
        <v>518702.91933333321</v>
      </c>
      <c r="J118" s="71">
        <f t="shared" si="12"/>
        <v>721817.88776666671</v>
      </c>
      <c r="K118" s="71">
        <f t="shared" si="12"/>
        <v>479622.1982000001</v>
      </c>
      <c r="L118" s="71">
        <f t="shared" si="12"/>
        <v>318668.87553333334</v>
      </c>
      <c r="M118" s="71">
        <f t="shared" si="12"/>
        <v>355397.30390000006</v>
      </c>
      <c r="N118" s="71">
        <f t="shared" si="12"/>
        <v>375502.55913333345</v>
      </c>
      <c r="O118" s="71">
        <f t="shared" si="12"/>
        <v>515818.08929999993</v>
      </c>
      <c r="P118" s="71">
        <f t="shared" si="12"/>
        <v>704991.94689999975</v>
      </c>
      <c r="Q118" s="71">
        <f t="shared" si="12"/>
        <v>650222.99443333328</v>
      </c>
      <c r="R118" s="71">
        <f t="shared" si="12"/>
        <v>569716.93416666659</v>
      </c>
      <c r="S118" s="34">
        <f t="shared" si="7"/>
        <v>6410390.9999000002</v>
      </c>
    </row>
    <row r="119" spans="3:19">
      <c r="H119" s="70"/>
      <c r="I119" s="70"/>
      <c r="J119" s="70"/>
      <c r="K119" s="70"/>
      <c r="L119" s="68"/>
      <c r="M119" s="70"/>
      <c r="O119" s="70"/>
      <c r="P119" s="68">
        <v>651583.43999999994</v>
      </c>
      <c r="S119" s="31"/>
    </row>
    <row r="120" spans="3:19">
      <c r="F120" s="1" t="s">
        <v>637</v>
      </c>
      <c r="G120" s="70">
        <v>659053.24</v>
      </c>
      <c r="H120" s="70">
        <v>540876.05000000005</v>
      </c>
      <c r="I120" s="70">
        <v>518702.92</v>
      </c>
      <c r="J120" s="70">
        <v>721817.89</v>
      </c>
      <c r="K120" s="70">
        <v>479622.2</v>
      </c>
      <c r="L120" s="70">
        <v>318668.88</v>
      </c>
      <c r="M120" s="70">
        <v>355397.3</v>
      </c>
      <c r="N120" s="70">
        <v>375502.56</v>
      </c>
      <c r="O120" s="70">
        <v>515818.09</v>
      </c>
      <c r="P120" s="70">
        <v>704991.95</v>
      </c>
      <c r="Q120" s="70">
        <v>650222.99</v>
      </c>
      <c r="R120" s="8">
        <v>569716.93000000005</v>
      </c>
      <c r="S120" s="70">
        <f>SUM(G120:R120)</f>
        <v>6410391</v>
      </c>
    </row>
    <row r="121" spans="3:19">
      <c r="F121" s="1" t="s">
        <v>648</v>
      </c>
      <c r="G121" s="70">
        <f t="shared" ref="G121:R121" si="13">G120-G118</f>
        <v>-1.3333330862224102E-3</v>
      </c>
      <c r="H121" s="70">
        <f t="shared" si="13"/>
        <v>1.0000017937272787E-4</v>
      </c>
      <c r="I121" s="70">
        <f t="shared" si="13"/>
        <v>6.6666677594184875E-4</v>
      </c>
      <c r="J121" s="70">
        <f t="shared" si="13"/>
        <v>2.2333333035930991E-3</v>
      </c>
      <c r="K121" s="70">
        <f t="shared" si="13"/>
        <v>1.7999999108724296E-3</v>
      </c>
      <c r="L121" s="70">
        <f t="shared" si="13"/>
        <v>4.4666666653938591E-3</v>
      </c>
      <c r="M121" s="70">
        <f t="shared" si="13"/>
        <v>-3.9000000688247383E-3</v>
      </c>
      <c r="N121" s="70">
        <f t="shared" si="13"/>
        <v>8.6666655261069536E-4</v>
      </c>
      <c r="O121" s="70">
        <f t="shared" si="13"/>
        <v>7.0000009145587683E-4</v>
      </c>
      <c r="P121" s="70">
        <f t="shared" si="13"/>
        <v>3.10000020544976E-3</v>
      </c>
      <c r="Q121" s="70">
        <f t="shared" si="13"/>
        <v>-4.4333332916721702E-3</v>
      </c>
      <c r="R121" s="70">
        <f t="shared" si="13"/>
        <v>-4.1666665347293019E-3</v>
      </c>
      <c r="S121" s="70">
        <f>SUM(G121:R121)</f>
        <v>1.0000070324167609E-4</v>
      </c>
    </row>
    <row r="122" spans="3:19">
      <c r="E122" s="70"/>
      <c r="F122" s="70"/>
      <c r="G122" s="70"/>
      <c r="H122" s="70"/>
      <c r="I122" s="70"/>
      <c r="J122" s="8"/>
      <c r="K122" s="70"/>
      <c r="N122" s="70"/>
      <c r="O122" s="70"/>
      <c r="P122" s="70"/>
    </row>
    <row r="123" spans="3:19" s="137" customFormat="1">
      <c r="C123" s="137" t="s">
        <v>390</v>
      </c>
      <c r="G123" s="137">
        <v>15012853</v>
      </c>
      <c r="H123" s="137">
        <v>14095944</v>
      </c>
      <c r="I123" s="137">
        <v>13759862</v>
      </c>
      <c r="J123" s="137">
        <v>17283845</v>
      </c>
      <c r="K123" s="137">
        <v>11773455</v>
      </c>
      <c r="L123" s="137">
        <v>8401555</v>
      </c>
      <c r="M123" s="137">
        <v>8868445</v>
      </c>
      <c r="Q123" s="68"/>
      <c r="S123" s="137">
        <f>+SUM(G123:R123)</f>
        <v>89195959</v>
      </c>
    </row>
    <row r="124" spans="3:19" s="158" customFormat="1">
      <c r="C124" s="158" t="s">
        <v>389</v>
      </c>
      <c r="G124" s="158">
        <f>+G123*0.06</f>
        <v>900771.17999999993</v>
      </c>
      <c r="H124" s="158">
        <f t="shared" ref="H124:R124" si="14">+H123*0.06</f>
        <v>845756.64</v>
      </c>
      <c r="I124" s="158">
        <f t="shared" si="14"/>
        <v>825591.72</v>
      </c>
      <c r="J124" s="158">
        <f t="shared" si="14"/>
        <v>1037030.7</v>
      </c>
      <c r="K124" s="158">
        <f t="shared" si="14"/>
        <v>706407.29999999993</v>
      </c>
      <c r="L124" s="158">
        <f t="shared" si="14"/>
        <v>504093.3</v>
      </c>
      <c r="M124" s="158">
        <f t="shared" si="14"/>
        <v>532106.69999999995</v>
      </c>
      <c r="N124" s="158">
        <f t="shared" si="14"/>
        <v>0</v>
      </c>
      <c r="O124" s="158">
        <f t="shared" si="14"/>
        <v>0</v>
      </c>
      <c r="P124" s="158">
        <f t="shared" si="14"/>
        <v>0</v>
      </c>
      <c r="Q124" s="158">
        <f t="shared" si="14"/>
        <v>0</v>
      </c>
      <c r="R124" s="158">
        <f t="shared" si="14"/>
        <v>0</v>
      </c>
      <c r="S124" s="137">
        <f>+SUM(G124:R124)</f>
        <v>5351757.54</v>
      </c>
    </row>
    <row r="125" spans="3:19" s="158" customFormat="1">
      <c r="C125" s="159" t="s">
        <v>391</v>
      </c>
      <c r="D125" s="159"/>
      <c r="E125" s="159"/>
      <c r="F125" s="159"/>
      <c r="G125" s="219">
        <f t="shared" ref="G125:N125" si="15">+G114-G124</f>
        <v>92776.419999999693</v>
      </c>
      <c r="H125" s="219">
        <f t="shared" si="15"/>
        <v>-30365.610000000102</v>
      </c>
      <c r="I125" s="219">
        <f t="shared" si="15"/>
        <v>-43627.520000000135</v>
      </c>
      <c r="J125" s="219">
        <f t="shared" si="15"/>
        <v>51136.970000000205</v>
      </c>
      <c r="K125" s="219">
        <f t="shared" si="15"/>
        <v>16641.240000000224</v>
      </c>
      <c r="L125" s="219">
        <f t="shared" si="15"/>
        <v>-23687.959999999963</v>
      </c>
      <c r="M125" s="219">
        <f t="shared" si="15"/>
        <v>3668.1300000001211</v>
      </c>
      <c r="N125" s="219">
        <f t="shared" si="15"/>
        <v>566084.26000000013</v>
      </c>
      <c r="O125" s="219">
        <f>+O114-O124</f>
        <v>777615.21</v>
      </c>
      <c r="P125" s="159"/>
      <c r="Q125" s="159"/>
      <c r="R125" s="159"/>
      <c r="S125" s="160">
        <f>+SUM(G125:R125)</f>
        <v>1410241.1400000001</v>
      </c>
    </row>
    <row r="126" spans="3:19" s="78" customFormat="1">
      <c r="C126" s="78" t="s">
        <v>392</v>
      </c>
      <c r="G126" s="78">
        <f>+IF(G123=0," ",G125/G124)</f>
        <v>0.10299665670919855</v>
      </c>
      <c r="H126" s="78">
        <f>+IF(H123=0," ",H125/H124)</f>
        <v>-3.5903484009300955E-2</v>
      </c>
      <c r="I126" s="78">
        <f>+IF(I123=0," ",I125/I124)</f>
        <v>-5.2843940828282698E-2</v>
      </c>
      <c r="J126" s="78">
        <f>+IF(J123=0," ",J125/J124)</f>
        <v>4.9310950967989868E-2</v>
      </c>
      <c r="K126" s="78">
        <f t="shared" ref="K126:R126" si="16">+IF(K123=0," ",K125/K124)</f>
        <v>2.3557570823518139E-2</v>
      </c>
      <c r="L126" s="78">
        <f t="shared" si="16"/>
        <v>-4.6991221664719536E-2</v>
      </c>
      <c r="M126" s="78">
        <f t="shared" si="16"/>
        <v>6.8935985959209332E-3</v>
      </c>
      <c r="N126" s="78" t="str">
        <f t="shared" si="16"/>
        <v xml:space="preserve"> </v>
      </c>
      <c r="O126" s="78" t="str">
        <f t="shared" si="16"/>
        <v xml:space="preserve"> </v>
      </c>
      <c r="P126" s="78" t="str">
        <f t="shared" si="16"/>
        <v xml:space="preserve"> </v>
      </c>
      <c r="Q126" s="78" t="str">
        <f t="shared" si="16"/>
        <v xml:space="preserve"> </v>
      </c>
      <c r="R126" s="78" t="str">
        <f t="shared" si="16"/>
        <v xml:space="preserve"> </v>
      </c>
      <c r="S126" s="78">
        <f>+S125/S124</f>
        <v>0.263509908559871</v>
      </c>
    </row>
  </sheetData>
  <printOptions horizontalCentered="1"/>
  <pageMargins left="0.25" right="0.25" top="0.5" bottom="0.25" header="0.25" footer="0.25"/>
  <pageSetup scale="56" fitToHeight="2" orientation="landscape" r:id="rId1"/>
  <headerFooter alignWithMargins="0">
    <oddHeader>&amp;C&amp;"Arial,Bold"&amp;11Occupancy Tax Receipts
Fiscal Year 2013</oddHead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J127"/>
  <sheetViews>
    <sheetView zoomScale="125" workbookViewId="0">
      <pane xSplit="5" ySplit="1" topLeftCell="F92" activePane="bottomRight" state="frozen"/>
      <selection pane="topRight" activeCell="C1" sqref="C1"/>
      <selection pane="bottomLeft" activeCell="A2" sqref="A2"/>
      <selection pane="bottomRight" activeCell="A124" sqref="A124"/>
    </sheetView>
  </sheetViews>
  <sheetFormatPr defaultColWidth="9.08984375" defaultRowHeight="10"/>
  <cols>
    <col min="1" max="1" width="10.54296875" style="1" customWidth="1"/>
    <col min="2" max="2" width="9.36328125" style="1" customWidth="1"/>
    <col min="3" max="3" width="7.90625" style="1" hidden="1" customWidth="1"/>
    <col min="4" max="4" width="27.36328125" style="1" customWidth="1"/>
    <col min="5" max="5" width="32.08984375" style="1" bestFit="1" customWidth="1"/>
    <col min="6" max="8" width="12" style="1" bestFit="1" customWidth="1"/>
    <col min="9" max="9" width="13.453125" style="1" bestFit="1" customWidth="1"/>
    <col min="10" max="10" width="12" style="1" customWidth="1"/>
    <col min="11" max="14" width="10.6328125" style="1" customWidth="1"/>
    <col min="15" max="15" width="11.36328125" style="1" customWidth="1"/>
    <col min="16" max="16" width="12" style="1" bestFit="1" customWidth="1"/>
    <col min="17" max="17" width="10.6328125" style="1" customWidth="1"/>
    <col min="18" max="18" width="13.6328125" style="1" customWidth="1"/>
    <col min="19" max="19" width="9.08984375" style="1" hidden="1" customWidth="1"/>
    <col min="20" max="20" width="11.90625" style="1" customWidth="1"/>
    <col min="21" max="21" width="12" style="1" bestFit="1" customWidth="1"/>
    <col min="22" max="22" width="10.453125" style="1" customWidth="1"/>
    <col min="23" max="32" width="9.08984375" style="1" customWidth="1"/>
    <col min="33" max="34" width="10.453125" style="1" bestFit="1" customWidth="1"/>
    <col min="35" max="35" width="9.08984375" style="1" customWidth="1"/>
    <col min="36" max="16384" width="9.08984375" style="1"/>
  </cols>
  <sheetData>
    <row r="1" spans="1:35" s="17" customFormat="1" ht="21">
      <c r="A1" s="17" t="s">
        <v>523</v>
      </c>
      <c r="B1" s="14" t="s">
        <v>82</v>
      </c>
      <c r="C1" s="20" t="s">
        <v>370</v>
      </c>
      <c r="D1" s="15" t="s">
        <v>524</v>
      </c>
      <c r="E1" s="15" t="s">
        <v>0</v>
      </c>
      <c r="F1" s="284" t="s">
        <v>618</v>
      </c>
      <c r="G1" s="261" t="s">
        <v>617</v>
      </c>
      <c r="H1" s="262" t="s">
        <v>616</v>
      </c>
      <c r="I1" s="263" t="s">
        <v>615</v>
      </c>
      <c r="J1" s="264" t="s">
        <v>614</v>
      </c>
      <c r="K1" s="265" t="s">
        <v>613</v>
      </c>
      <c r="L1" s="266" t="s">
        <v>612</v>
      </c>
      <c r="M1" s="267" t="s">
        <v>611</v>
      </c>
      <c r="N1" s="268" t="s">
        <v>610</v>
      </c>
      <c r="O1" s="269" t="s">
        <v>609</v>
      </c>
      <c r="P1" s="270" t="s">
        <v>608</v>
      </c>
      <c r="Q1" s="143" t="s">
        <v>607</v>
      </c>
      <c r="R1" s="64" t="s">
        <v>143</v>
      </c>
      <c r="S1" s="64"/>
      <c r="T1" s="64" t="s">
        <v>142</v>
      </c>
      <c r="V1" s="17" t="s">
        <v>539</v>
      </c>
      <c r="W1" s="17" t="s">
        <v>537</v>
      </c>
      <c r="X1" s="17" t="s">
        <v>531</v>
      </c>
      <c r="Y1" s="17" t="s">
        <v>530</v>
      </c>
      <c r="Z1" s="17" t="s">
        <v>662</v>
      </c>
      <c r="AA1" s="17" t="s">
        <v>535</v>
      </c>
      <c r="AB1" s="17" t="s">
        <v>533</v>
      </c>
      <c r="AC1" s="17" t="s">
        <v>659</v>
      </c>
      <c r="AD1" s="17" t="s">
        <v>658</v>
      </c>
      <c r="AE1" s="17" t="s">
        <v>660</v>
      </c>
    </row>
    <row r="2" spans="1:35" s="17" customFormat="1" ht="10.5">
      <c r="B2" s="290">
        <v>15051483</v>
      </c>
      <c r="C2" s="289"/>
      <c r="D2" s="4" t="s">
        <v>638</v>
      </c>
      <c r="E2" s="4" t="s">
        <v>665</v>
      </c>
      <c r="F2" s="180"/>
      <c r="G2" s="185"/>
      <c r="H2" s="233"/>
      <c r="I2" s="292">
        <v>37.979999999999997</v>
      </c>
      <c r="J2" s="292">
        <v>33.36</v>
      </c>
      <c r="K2" s="296">
        <v>76.209999999999994</v>
      </c>
      <c r="L2" s="305">
        <v>25.32</v>
      </c>
      <c r="M2" s="310">
        <v>127.54</v>
      </c>
      <c r="N2" s="310">
        <v>92.09</v>
      </c>
      <c r="O2" s="314">
        <v>97.36</v>
      </c>
      <c r="P2" s="317">
        <v>172.18</v>
      </c>
      <c r="Q2" s="320">
        <v>101.34</v>
      </c>
      <c r="R2" s="8">
        <f t="shared" ref="R2:R33" si="0">+SUM(F2:Q2)</f>
        <v>763.38</v>
      </c>
      <c r="S2" s="1">
        <f t="shared" ref="S2:S33" si="1">COUNT(F2:Q2)</f>
        <v>9</v>
      </c>
      <c r="T2" s="31">
        <f t="shared" ref="T2:T33" si="2">+IF(R2=0,0,R2/S2)</f>
        <v>84.82</v>
      </c>
      <c r="V2" s="321">
        <f>+IF($A2=V$1,SUM($L2:$Q2),0)</f>
        <v>0</v>
      </c>
      <c r="W2" s="321">
        <f t="shared" ref="W2:AF17" si="3">+IF($A2=W$1,SUM($L2:$Q2),0)</f>
        <v>0</v>
      </c>
      <c r="X2" s="321">
        <f t="shared" si="3"/>
        <v>0</v>
      </c>
      <c r="Y2" s="321">
        <f t="shared" si="3"/>
        <v>0</v>
      </c>
      <c r="Z2" s="321">
        <f t="shared" si="3"/>
        <v>0</v>
      </c>
      <c r="AA2" s="321">
        <f t="shared" si="3"/>
        <v>0</v>
      </c>
      <c r="AB2" s="321">
        <f t="shared" si="3"/>
        <v>0</v>
      </c>
      <c r="AC2" s="321">
        <f t="shared" si="3"/>
        <v>0</v>
      </c>
      <c r="AD2" s="321">
        <f t="shared" si="3"/>
        <v>0</v>
      </c>
      <c r="AE2" s="321">
        <f t="shared" si="3"/>
        <v>0</v>
      </c>
      <c r="AF2" s="321">
        <f t="shared" si="3"/>
        <v>615.83000000000004</v>
      </c>
      <c r="AG2" s="70">
        <f>+SUM(V2:AF2)</f>
        <v>615.83000000000004</v>
      </c>
      <c r="AH2" s="321">
        <f>+SUM(L2:Q2)</f>
        <v>615.83000000000004</v>
      </c>
      <c r="AI2" s="331">
        <f>+AG2-AH2</f>
        <v>0</v>
      </c>
    </row>
    <row r="3" spans="1:35" s="17" customFormat="1" ht="10.5">
      <c r="A3" s="1" t="s">
        <v>530</v>
      </c>
      <c r="B3" s="4">
        <v>15037103</v>
      </c>
      <c r="C3" s="4"/>
      <c r="D3" s="1" t="s">
        <v>604</v>
      </c>
      <c r="E3" s="1" t="s">
        <v>499</v>
      </c>
      <c r="F3" s="181">
        <v>24281.37</v>
      </c>
      <c r="G3" s="184">
        <v>18500.419999999998</v>
      </c>
      <c r="H3" s="229">
        <v>21042.3</v>
      </c>
      <c r="I3" s="192">
        <v>34111.050000000003</v>
      </c>
      <c r="J3" s="195">
        <v>19218.47</v>
      </c>
      <c r="K3" s="238">
        <v>15391.11</v>
      </c>
      <c r="L3" s="306">
        <v>12707.15</v>
      </c>
      <c r="M3" s="212">
        <v>14058.91</v>
      </c>
      <c r="N3" s="217">
        <v>18615.71</v>
      </c>
      <c r="O3" s="220">
        <v>24658.799999999999</v>
      </c>
      <c r="P3" s="304">
        <v>21662.87</v>
      </c>
      <c r="Q3" s="172">
        <v>18962.53</v>
      </c>
      <c r="R3" s="8">
        <f t="shared" si="0"/>
        <v>243210.68999999997</v>
      </c>
      <c r="S3" s="1">
        <f t="shared" si="1"/>
        <v>12</v>
      </c>
      <c r="T3" s="31">
        <f t="shared" si="2"/>
        <v>20267.557499999999</v>
      </c>
      <c r="V3" s="321">
        <f t="shared" ref="V3:AF34" si="4">+IF($A3=V$1,SUM($L3:$Q3),0)</f>
        <v>0</v>
      </c>
      <c r="W3" s="321">
        <f t="shared" si="3"/>
        <v>0</v>
      </c>
      <c r="X3" s="321">
        <f t="shared" si="3"/>
        <v>0</v>
      </c>
      <c r="Y3" s="321">
        <f t="shared" si="3"/>
        <v>110665.96999999999</v>
      </c>
      <c r="Z3" s="321">
        <f t="shared" si="3"/>
        <v>0</v>
      </c>
      <c r="AA3" s="321">
        <f t="shared" si="3"/>
        <v>0</v>
      </c>
      <c r="AB3" s="321">
        <f t="shared" si="3"/>
        <v>0</v>
      </c>
      <c r="AC3" s="321">
        <f t="shared" si="3"/>
        <v>0</v>
      </c>
      <c r="AD3" s="321">
        <f t="shared" si="3"/>
        <v>0</v>
      </c>
      <c r="AE3" s="321">
        <f t="shared" si="3"/>
        <v>0</v>
      </c>
      <c r="AF3" s="321">
        <f t="shared" si="3"/>
        <v>0</v>
      </c>
      <c r="AG3" s="70">
        <f t="shared" ref="AG3:AG66" si="5">+SUM(V3:AF3)</f>
        <v>110665.96999999999</v>
      </c>
      <c r="AH3" s="321">
        <f t="shared" ref="AH3:AH66" si="6">+SUM(L3:Q3)</f>
        <v>110665.96999999999</v>
      </c>
      <c r="AI3" s="331">
        <f t="shared" ref="AI3:AI66" si="7">+AG3-AH3</f>
        <v>0</v>
      </c>
    </row>
    <row r="4" spans="1:35" s="17" customFormat="1" ht="10.5">
      <c r="A4" s="1" t="s">
        <v>531</v>
      </c>
      <c r="B4" s="4">
        <v>15037984</v>
      </c>
      <c r="C4" s="4"/>
      <c r="D4" s="1" t="s">
        <v>652</v>
      </c>
      <c r="E4" s="1" t="s">
        <v>653</v>
      </c>
      <c r="F4" s="180"/>
      <c r="G4" s="185"/>
      <c r="H4" s="233"/>
      <c r="I4" s="193"/>
      <c r="J4" s="196"/>
      <c r="K4" s="240"/>
      <c r="L4" s="307"/>
      <c r="M4" s="211"/>
      <c r="N4" s="217">
        <v>7945</v>
      </c>
      <c r="O4" s="220">
        <v>24751</v>
      </c>
      <c r="P4" s="304">
        <v>20158</v>
      </c>
      <c r="Q4" s="172">
        <v>16608</v>
      </c>
      <c r="R4" s="8">
        <f t="shared" si="0"/>
        <v>69462</v>
      </c>
      <c r="S4" s="1">
        <f t="shared" si="1"/>
        <v>4</v>
      </c>
      <c r="T4" s="31">
        <f t="shared" si="2"/>
        <v>17365.5</v>
      </c>
      <c r="V4" s="321">
        <f t="shared" si="4"/>
        <v>0</v>
      </c>
      <c r="W4" s="321">
        <f t="shared" si="3"/>
        <v>0</v>
      </c>
      <c r="X4" s="321">
        <f t="shared" si="3"/>
        <v>69462</v>
      </c>
      <c r="Y4" s="321">
        <f t="shared" si="3"/>
        <v>0</v>
      </c>
      <c r="Z4" s="321">
        <f t="shared" si="3"/>
        <v>0</v>
      </c>
      <c r="AA4" s="321">
        <f t="shared" si="3"/>
        <v>0</v>
      </c>
      <c r="AB4" s="321">
        <f t="shared" si="3"/>
        <v>0</v>
      </c>
      <c r="AC4" s="321">
        <f t="shared" si="3"/>
        <v>0</v>
      </c>
      <c r="AD4" s="321">
        <f t="shared" si="3"/>
        <v>0</v>
      </c>
      <c r="AE4" s="321">
        <f t="shared" si="3"/>
        <v>0</v>
      </c>
      <c r="AF4" s="321">
        <f t="shared" si="3"/>
        <v>0</v>
      </c>
      <c r="AG4" s="70">
        <f t="shared" si="5"/>
        <v>69462</v>
      </c>
      <c r="AH4" s="321">
        <f t="shared" si="6"/>
        <v>69462</v>
      </c>
      <c r="AI4" s="331">
        <f t="shared" si="7"/>
        <v>0</v>
      </c>
    </row>
    <row r="5" spans="1:35" s="17" customFormat="1" ht="10.5">
      <c r="A5" s="1" t="s">
        <v>539</v>
      </c>
      <c r="B5" s="4">
        <v>15002216</v>
      </c>
      <c r="C5" s="4"/>
      <c r="D5" s="1" t="s">
        <v>329</v>
      </c>
      <c r="E5" s="1" t="s">
        <v>329</v>
      </c>
      <c r="F5" s="180"/>
      <c r="G5" s="185"/>
      <c r="H5" s="233"/>
      <c r="I5" s="192">
        <v>71.64</v>
      </c>
      <c r="J5" s="195">
        <v>0</v>
      </c>
      <c r="K5" s="238"/>
      <c r="L5" s="306"/>
      <c r="M5" s="212"/>
      <c r="N5" s="217"/>
      <c r="O5" s="220"/>
      <c r="P5" s="304">
        <v>20.28</v>
      </c>
      <c r="Q5" s="32"/>
      <c r="R5" s="8">
        <f t="shared" si="0"/>
        <v>91.92</v>
      </c>
      <c r="S5" s="1">
        <f t="shared" si="1"/>
        <v>3</v>
      </c>
      <c r="T5" s="31">
        <f t="shared" si="2"/>
        <v>30.64</v>
      </c>
      <c r="V5" s="321">
        <f t="shared" si="4"/>
        <v>20.28</v>
      </c>
      <c r="W5" s="321">
        <f t="shared" si="3"/>
        <v>0</v>
      </c>
      <c r="X5" s="321">
        <f t="shared" si="3"/>
        <v>0</v>
      </c>
      <c r="Y5" s="321">
        <f t="shared" si="3"/>
        <v>0</v>
      </c>
      <c r="Z5" s="321">
        <f t="shared" si="3"/>
        <v>0</v>
      </c>
      <c r="AA5" s="321">
        <f t="shared" si="3"/>
        <v>0</v>
      </c>
      <c r="AB5" s="321">
        <f t="shared" si="3"/>
        <v>0</v>
      </c>
      <c r="AC5" s="321">
        <f t="shared" si="3"/>
        <v>0</v>
      </c>
      <c r="AD5" s="321">
        <f t="shared" si="3"/>
        <v>0</v>
      </c>
      <c r="AE5" s="321">
        <f t="shared" si="3"/>
        <v>0</v>
      </c>
      <c r="AF5" s="321">
        <f t="shared" si="3"/>
        <v>0</v>
      </c>
      <c r="AG5" s="70">
        <f t="shared" si="5"/>
        <v>20.28</v>
      </c>
      <c r="AH5" s="321">
        <f t="shared" si="6"/>
        <v>20.28</v>
      </c>
      <c r="AI5" s="331">
        <f t="shared" si="7"/>
        <v>0</v>
      </c>
    </row>
    <row r="6" spans="1:35" ht="10.5">
      <c r="A6" s="1" t="s">
        <v>539</v>
      </c>
      <c r="B6" s="4">
        <v>15037169</v>
      </c>
      <c r="C6" s="4"/>
      <c r="D6" s="1" t="s">
        <v>636</v>
      </c>
      <c r="E6" s="1" t="s">
        <v>592</v>
      </c>
      <c r="F6" s="181">
        <v>1448.7</v>
      </c>
      <c r="G6" s="184">
        <v>1234.68</v>
      </c>
      <c r="H6" s="229">
        <v>1820.86</v>
      </c>
      <c r="I6" s="192">
        <v>2358.67</v>
      </c>
      <c r="J6" s="195">
        <v>892.81</v>
      </c>
      <c r="K6" s="238">
        <v>879.19</v>
      </c>
      <c r="L6" s="306">
        <v>805.28</v>
      </c>
      <c r="M6" s="212">
        <v>701.68</v>
      </c>
      <c r="N6" s="217">
        <v>1174.9000000000001</v>
      </c>
      <c r="O6" s="220">
        <v>2042.25</v>
      </c>
      <c r="P6" s="304">
        <v>1187.08</v>
      </c>
      <c r="Q6" s="172">
        <v>1192.8900000000001</v>
      </c>
      <c r="R6" s="8">
        <f t="shared" si="0"/>
        <v>15738.99</v>
      </c>
      <c r="S6" s="1">
        <f t="shared" si="1"/>
        <v>12</v>
      </c>
      <c r="T6" s="31">
        <f t="shared" si="2"/>
        <v>1311.5825</v>
      </c>
      <c r="V6" s="321">
        <f t="shared" si="4"/>
        <v>7104.0800000000008</v>
      </c>
      <c r="W6" s="321">
        <f t="shared" si="3"/>
        <v>0</v>
      </c>
      <c r="X6" s="321">
        <f t="shared" si="3"/>
        <v>0</v>
      </c>
      <c r="Y6" s="321">
        <f t="shared" si="3"/>
        <v>0</v>
      </c>
      <c r="Z6" s="321">
        <f t="shared" si="3"/>
        <v>0</v>
      </c>
      <c r="AA6" s="321">
        <f t="shared" si="3"/>
        <v>0</v>
      </c>
      <c r="AB6" s="321">
        <f t="shared" si="3"/>
        <v>0</v>
      </c>
      <c r="AC6" s="321">
        <f t="shared" si="3"/>
        <v>0</v>
      </c>
      <c r="AD6" s="321">
        <f t="shared" si="3"/>
        <v>0</v>
      </c>
      <c r="AE6" s="321">
        <f t="shared" si="3"/>
        <v>0</v>
      </c>
      <c r="AF6" s="321">
        <f t="shared" si="3"/>
        <v>0</v>
      </c>
      <c r="AG6" s="70">
        <f t="shared" si="5"/>
        <v>7104.0800000000008</v>
      </c>
      <c r="AH6" s="321">
        <f t="shared" si="6"/>
        <v>7104.0800000000008</v>
      </c>
      <c r="AI6" s="331">
        <f t="shared" si="7"/>
        <v>0</v>
      </c>
    </row>
    <row r="7" spans="1:35" ht="10.5">
      <c r="A7" s="1" t="s">
        <v>533</v>
      </c>
      <c r="B7" s="4">
        <v>15008670</v>
      </c>
      <c r="C7" s="4">
        <v>117</v>
      </c>
      <c r="D7" s="1" t="s">
        <v>114</v>
      </c>
      <c r="E7" s="1" t="s">
        <v>114</v>
      </c>
      <c r="F7" s="181">
        <v>5114.63</v>
      </c>
      <c r="G7" s="184">
        <v>5181.7700000000004</v>
      </c>
      <c r="H7" s="229">
        <v>4620.62</v>
      </c>
      <c r="I7" s="192">
        <v>8061.86</v>
      </c>
      <c r="J7" s="195">
        <v>3616.32</v>
      </c>
      <c r="K7" s="238">
        <v>2763.1</v>
      </c>
      <c r="L7" s="306">
        <v>2955.96</v>
      </c>
      <c r="M7" s="212">
        <v>3303.91</v>
      </c>
      <c r="N7" s="217">
        <v>5546.27</v>
      </c>
      <c r="O7" s="220">
        <v>5324.45</v>
      </c>
      <c r="P7" s="304">
        <v>4042.74</v>
      </c>
      <c r="Q7" s="172">
        <v>3170.18</v>
      </c>
      <c r="R7" s="8">
        <f t="shared" si="0"/>
        <v>53701.81</v>
      </c>
      <c r="S7" s="1">
        <f t="shared" si="1"/>
        <v>12</v>
      </c>
      <c r="T7" s="31">
        <f t="shared" si="2"/>
        <v>4475.1508333333331</v>
      </c>
      <c r="V7" s="321">
        <f t="shared" si="4"/>
        <v>0</v>
      </c>
      <c r="W7" s="321">
        <f t="shared" si="3"/>
        <v>0</v>
      </c>
      <c r="X7" s="321">
        <f t="shared" si="3"/>
        <v>0</v>
      </c>
      <c r="Y7" s="321">
        <f t="shared" si="3"/>
        <v>0</v>
      </c>
      <c r="Z7" s="321">
        <f t="shared" si="3"/>
        <v>0</v>
      </c>
      <c r="AA7" s="321">
        <f t="shared" si="3"/>
        <v>0</v>
      </c>
      <c r="AB7" s="321">
        <f t="shared" si="3"/>
        <v>24343.510000000002</v>
      </c>
      <c r="AC7" s="321">
        <f t="shared" si="3"/>
        <v>0</v>
      </c>
      <c r="AD7" s="321">
        <f t="shared" si="3"/>
        <v>0</v>
      </c>
      <c r="AE7" s="321">
        <f t="shared" si="3"/>
        <v>0</v>
      </c>
      <c r="AF7" s="321">
        <f t="shared" si="3"/>
        <v>0</v>
      </c>
      <c r="AG7" s="70">
        <f t="shared" si="5"/>
        <v>24343.510000000002</v>
      </c>
      <c r="AH7" s="321">
        <f t="shared" si="6"/>
        <v>24343.510000000002</v>
      </c>
      <c r="AI7" s="331">
        <f t="shared" si="7"/>
        <v>0</v>
      </c>
    </row>
    <row r="8" spans="1:35" ht="10.5">
      <c r="A8" s="1" t="s">
        <v>664</v>
      </c>
      <c r="B8" s="4">
        <v>70000000</v>
      </c>
      <c r="C8" s="4">
        <v>89</v>
      </c>
      <c r="D8" s="1" t="s">
        <v>229</v>
      </c>
      <c r="E8" s="1" t="s">
        <v>229</v>
      </c>
      <c r="F8" s="181">
        <v>1165.32</v>
      </c>
      <c r="G8" s="184">
        <v>1115.9100000000001</v>
      </c>
      <c r="H8" s="229">
        <v>1075.32</v>
      </c>
      <c r="I8" s="192">
        <v>1115.73</v>
      </c>
      <c r="J8" s="195">
        <v>1091.1600000000001</v>
      </c>
      <c r="K8" s="238">
        <v>1139.4000000000001</v>
      </c>
      <c r="L8" s="306">
        <v>955.26</v>
      </c>
      <c r="M8" s="212">
        <v>998.94</v>
      </c>
      <c r="N8" s="217">
        <v>962.46</v>
      </c>
      <c r="O8" s="220">
        <v>1059.3</v>
      </c>
      <c r="P8" s="304">
        <v>962.22</v>
      </c>
      <c r="Q8" s="172">
        <v>1008.12</v>
      </c>
      <c r="R8" s="8">
        <f t="shared" si="0"/>
        <v>12649.14</v>
      </c>
      <c r="S8" s="1">
        <f t="shared" si="1"/>
        <v>12</v>
      </c>
      <c r="T8" s="31">
        <f t="shared" si="2"/>
        <v>1054.095</v>
      </c>
      <c r="V8" s="321">
        <f t="shared" si="4"/>
        <v>0</v>
      </c>
      <c r="W8" s="321">
        <f t="shared" si="3"/>
        <v>0</v>
      </c>
      <c r="X8" s="321">
        <f t="shared" si="3"/>
        <v>0</v>
      </c>
      <c r="Y8" s="321">
        <f t="shared" si="3"/>
        <v>0</v>
      </c>
      <c r="Z8" s="321">
        <f t="shared" si="3"/>
        <v>0</v>
      </c>
      <c r="AA8" s="321">
        <f t="shared" si="3"/>
        <v>0</v>
      </c>
      <c r="AB8" s="321">
        <f t="shared" si="3"/>
        <v>0</v>
      </c>
      <c r="AC8" s="321">
        <f t="shared" si="3"/>
        <v>0</v>
      </c>
      <c r="AD8" s="321">
        <f t="shared" si="3"/>
        <v>0</v>
      </c>
      <c r="AE8" s="321">
        <f t="shared" si="3"/>
        <v>5946.3</v>
      </c>
      <c r="AF8" s="321">
        <f t="shared" si="3"/>
        <v>0</v>
      </c>
      <c r="AG8" s="70">
        <f t="shared" si="5"/>
        <v>5946.3</v>
      </c>
      <c r="AH8" s="321">
        <f t="shared" si="6"/>
        <v>5946.3</v>
      </c>
      <c r="AI8" s="331">
        <f t="shared" si="7"/>
        <v>0</v>
      </c>
    </row>
    <row r="9" spans="1:35" ht="10.5">
      <c r="A9" s="1" t="s">
        <v>535</v>
      </c>
      <c r="B9" s="4">
        <v>7003201</v>
      </c>
      <c r="C9" s="4">
        <v>4130</v>
      </c>
      <c r="D9" s="1" t="s">
        <v>525</v>
      </c>
      <c r="E9" s="1" t="s">
        <v>385</v>
      </c>
      <c r="F9" s="181">
        <v>11079.9</v>
      </c>
      <c r="G9" s="184">
        <v>9880.15</v>
      </c>
      <c r="H9" s="229">
        <v>9979.2199999999993</v>
      </c>
      <c r="I9" s="192">
        <v>13504.69</v>
      </c>
      <c r="J9" s="195">
        <v>7727.5</v>
      </c>
      <c r="K9" s="238">
        <v>6221.13</v>
      </c>
      <c r="L9" s="306">
        <v>9225.08</v>
      </c>
      <c r="M9" s="212">
        <v>8149.59</v>
      </c>
      <c r="N9" s="217">
        <v>9030.7000000000007</v>
      </c>
      <c r="O9" s="220">
        <v>12200.02</v>
      </c>
      <c r="P9" s="304">
        <v>11421.71</v>
      </c>
      <c r="Q9" s="172">
        <v>9760.5499999999993</v>
      </c>
      <c r="R9" s="8">
        <f t="shared" si="0"/>
        <v>118180.24</v>
      </c>
      <c r="S9" s="1">
        <f t="shared" si="1"/>
        <v>12</v>
      </c>
      <c r="T9" s="31">
        <f t="shared" si="2"/>
        <v>9848.3533333333344</v>
      </c>
      <c r="V9" s="321">
        <f t="shared" si="4"/>
        <v>0</v>
      </c>
      <c r="W9" s="321">
        <f t="shared" si="3"/>
        <v>0</v>
      </c>
      <c r="X9" s="321">
        <f t="shared" si="3"/>
        <v>0</v>
      </c>
      <c r="Y9" s="321">
        <f t="shared" si="3"/>
        <v>0</v>
      </c>
      <c r="Z9" s="321">
        <f t="shared" si="3"/>
        <v>0</v>
      </c>
      <c r="AA9" s="321">
        <f t="shared" si="3"/>
        <v>59787.649999999994</v>
      </c>
      <c r="AB9" s="321">
        <f t="shared" si="3"/>
        <v>0</v>
      </c>
      <c r="AC9" s="321">
        <f t="shared" si="3"/>
        <v>0</v>
      </c>
      <c r="AD9" s="321">
        <f t="shared" si="3"/>
        <v>0</v>
      </c>
      <c r="AE9" s="321">
        <f t="shared" si="3"/>
        <v>0</v>
      </c>
      <c r="AF9" s="321">
        <f t="shared" si="3"/>
        <v>0</v>
      </c>
      <c r="AG9" s="70">
        <f t="shared" si="5"/>
        <v>59787.649999999994</v>
      </c>
      <c r="AH9" s="321">
        <f t="shared" si="6"/>
        <v>59787.649999999994</v>
      </c>
      <c r="AI9" s="331">
        <f t="shared" si="7"/>
        <v>0</v>
      </c>
    </row>
    <row r="10" spans="1:35" ht="10.5">
      <c r="B10" s="4">
        <v>15019612</v>
      </c>
      <c r="C10" s="4"/>
      <c r="D10" s="1" t="s">
        <v>500</v>
      </c>
      <c r="E10" s="1" t="s">
        <v>500</v>
      </c>
      <c r="F10" s="229">
        <v>84</v>
      </c>
      <c r="G10" s="184">
        <v>0</v>
      </c>
      <c r="H10" s="229">
        <v>150</v>
      </c>
      <c r="I10" s="192">
        <v>0</v>
      </c>
      <c r="J10" s="195">
        <v>0</v>
      </c>
      <c r="K10" s="238">
        <v>0</v>
      </c>
      <c r="L10" s="306"/>
      <c r="M10" s="212"/>
      <c r="N10" s="217"/>
      <c r="O10" s="220"/>
      <c r="P10" s="304"/>
      <c r="Q10" s="32"/>
      <c r="R10" s="8">
        <f t="shared" si="0"/>
        <v>234</v>
      </c>
      <c r="S10" s="1">
        <f t="shared" si="1"/>
        <v>6</v>
      </c>
      <c r="T10" s="31">
        <f t="shared" si="2"/>
        <v>39</v>
      </c>
      <c r="V10" s="321">
        <f t="shared" si="4"/>
        <v>0</v>
      </c>
      <c r="W10" s="321">
        <f t="shared" si="3"/>
        <v>0</v>
      </c>
      <c r="X10" s="321">
        <f t="shared" si="3"/>
        <v>0</v>
      </c>
      <c r="Y10" s="321">
        <f t="shared" si="3"/>
        <v>0</v>
      </c>
      <c r="Z10" s="321">
        <f t="shared" si="3"/>
        <v>0</v>
      </c>
      <c r="AA10" s="321">
        <f t="shared" si="3"/>
        <v>0</v>
      </c>
      <c r="AB10" s="321">
        <f t="shared" si="3"/>
        <v>0</v>
      </c>
      <c r="AC10" s="321">
        <f t="shared" si="3"/>
        <v>0</v>
      </c>
      <c r="AD10" s="321">
        <f t="shared" si="3"/>
        <v>0</v>
      </c>
      <c r="AE10" s="321">
        <f t="shared" si="3"/>
        <v>0</v>
      </c>
      <c r="AF10" s="321">
        <f t="shared" si="3"/>
        <v>0</v>
      </c>
      <c r="AG10" s="70">
        <f t="shared" si="5"/>
        <v>0</v>
      </c>
      <c r="AH10" s="321">
        <f t="shared" si="6"/>
        <v>0</v>
      </c>
      <c r="AI10" s="331">
        <f t="shared" si="7"/>
        <v>0</v>
      </c>
    </row>
    <row r="11" spans="1:35" ht="10.5">
      <c r="A11" s="1" t="s">
        <v>662</v>
      </c>
      <c r="B11" s="42">
        <v>7000200</v>
      </c>
      <c r="C11" s="42">
        <v>90</v>
      </c>
      <c r="D11" s="11" t="s">
        <v>230</v>
      </c>
      <c r="E11" s="11" t="s">
        <v>230</v>
      </c>
      <c r="F11" s="184">
        <v>1759.97</v>
      </c>
      <c r="G11" s="184">
        <v>1718.01</v>
      </c>
      <c r="H11" s="192">
        <v>1777.17</v>
      </c>
      <c r="I11" s="238">
        <v>1809.22</v>
      </c>
      <c r="J11" s="238">
        <v>1726.69</v>
      </c>
      <c r="K11" s="238">
        <v>1642.92</v>
      </c>
      <c r="L11" s="306">
        <v>1680.44</v>
      </c>
      <c r="M11" s="220">
        <v>1593.75</v>
      </c>
      <c r="N11" s="220">
        <f>1716.31+1678.85</f>
        <v>3395.16</v>
      </c>
      <c r="O11" s="220">
        <v>1747.73</v>
      </c>
      <c r="P11" s="172">
        <v>1674.84</v>
      </c>
      <c r="Q11" s="184">
        <v>1674.84</v>
      </c>
      <c r="R11" s="8">
        <f t="shared" si="0"/>
        <v>22200.74</v>
      </c>
      <c r="S11" s="1">
        <f t="shared" si="1"/>
        <v>12</v>
      </c>
      <c r="T11" s="31">
        <f t="shared" si="2"/>
        <v>1850.0616666666667</v>
      </c>
      <c r="V11" s="321">
        <f t="shared" si="4"/>
        <v>0</v>
      </c>
      <c r="W11" s="321">
        <f t="shared" si="3"/>
        <v>0</v>
      </c>
      <c r="X11" s="321">
        <f t="shared" si="3"/>
        <v>0</v>
      </c>
      <c r="Y11" s="321">
        <f t="shared" si="3"/>
        <v>0</v>
      </c>
      <c r="Z11" s="321">
        <f t="shared" si="3"/>
        <v>11766.76</v>
      </c>
      <c r="AA11" s="321">
        <f t="shared" si="3"/>
        <v>0</v>
      </c>
      <c r="AB11" s="321">
        <f t="shared" si="3"/>
        <v>0</v>
      </c>
      <c r="AC11" s="321">
        <f t="shared" si="3"/>
        <v>0</v>
      </c>
      <c r="AD11" s="321">
        <f t="shared" si="3"/>
        <v>0</v>
      </c>
      <c r="AE11" s="321">
        <f t="shared" si="3"/>
        <v>0</v>
      </c>
      <c r="AF11" s="321">
        <f t="shared" si="3"/>
        <v>0</v>
      </c>
      <c r="AG11" s="70">
        <f t="shared" si="5"/>
        <v>11766.76</v>
      </c>
      <c r="AH11" s="321">
        <f t="shared" si="6"/>
        <v>11766.76</v>
      </c>
      <c r="AI11" s="331">
        <f t="shared" si="7"/>
        <v>0</v>
      </c>
    </row>
    <row r="12" spans="1:35" ht="10.5">
      <c r="B12" s="42">
        <v>15005197</v>
      </c>
      <c r="C12" s="42"/>
      <c r="D12" s="11" t="s">
        <v>599</v>
      </c>
      <c r="E12" s="11" t="s">
        <v>600</v>
      </c>
      <c r="F12" s="181">
        <v>0</v>
      </c>
      <c r="G12" s="184">
        <f>187.74+138</f>
        <v>325.74</v>
      </c>
      <c r="H12" s="229">
        <f>188.65+192.06</f>
        <v>380.71000000000004</v>
      </c>
      <c r="I12" s="192">
        <f>337.74+73.18</f>
        <v>410.92</v>
      </c>
      <c r="J12" s="195">
        <v>78.959999999999994</v>
      </c>
      <c r="K12" s="238">
        <v>115.44</v>
      </c>
      <c r="L12" s="306"/>
      <c r="M12" s="212">
        <v>93.12</v>
      </c>
      <c r="N12" s="217"/>
      <c r="O12" s="220"/>
      <c r="P12" s="304"/>
      <c r="Q12" s="32"/>
      <c r="R12" s="8">
        <f t="shared" si="0"/>
        <v>1404.8900000000003</v>
      </c>
      <c r="S12" s="1">
        <f t="shared" si="1"/>
        <v>7</v>
      </c>
      <c r="T12" s="31">
        <f t="shared" si="2"/>
        <v>200.69857142857148</v>
      </c>
      <c r="V12" s="321">
        <f t="shared" si="4"/>
        <v>0</v>
      </c>
      <c r="W12" s="321">
        <f t="shared" si="3"/>
        <v>0</v>
      </c>
      <c r="X12" s="321">
        <f t="shared" si="3"/>
        <v>0</v>
      </c>
      <c r="Y12" s="321">
        <f t="shared" si="3"/>
        <v>0</v>
      </c>
      <c r="Z12" s="321">
        <f t="shared" si="3"/>
        <v>0</v>
      </c>
      <c r="AA12" s="321">
        <f t="shared" si="3"/>
        <v>0</v>
      </c>
      <c r="AB12" s="321">
        <f t="shared" si="3"/>
        <v>0</v>
      </c>
      <c r="AC12" s="321">
        <f t="shared" si="3"/>
        <v>0</v>
      </c>
      <c r="AD12" s="321">
        <f t="shared" si="3"/>
        <v>0</v>
      </c>
      <c r="AE12" s="321">
        <f t="shared" si="3"/>
        <v>0</v>
      </c>
      <c r="AF12" s="321">
        <f t="shared" si="3"/>
        <v>93.12</v>
      </c>
      <c r="AG12" s="70">
        <f t="shared" si="5"/>
        <v>93.12</v>
      </c>
      <c r="AH12" s="321">
        <f t="shared" si="6"/>
        <v>93.12</v>
      </c>
      <c r="AI12" s="331">
        <f t="shared" si="7"/>
        <v>0</v>
      </c>
    </row>
    <row r="13" spans="1:35" ht="10.5">
      <c r="A13" s="1" t="s">
        <v>535</v>
      </c>
      <c r="B13" s="42">
        <v>15051607</v>
      </c>
      <c r="C13" s="42"/>
      <c r="D13" s="11" t="s">
        <v>640</v>
      </c>
      <c r="E13" s="11" t="s">
        <v>641</v>
      </c>
      <c r="F13" s="180"/>
      <c r="G13" s="185"/>
      <c r="H13" s="233"/>
      <c r="I13" s="192">
        <v>34482.699999999997</v>
      </c>
      <c r="J13" s="195">
        <v>18781.599999999999</v>
      </c>
      <c r="K13" s="212">
        <v>10898.46</v>
      </c>
      <c r="L13" s="212">
        <v>10857.99</v>
      </c>
      <c r="M13" s="217">
        <v>16050.52</v>
      </c>
      <c r="N13" s="220">
        <v>21595.55</v>
      </c>
      <c r="O13" s="172">
        <v>34122.080000000002</v>
      </c>
      <c r="P13" s="181">
        <v>32146.39</v>
      </c>
      <c r="Q13" s="229">
        <v>39024.71</v>
      </c>
      <c r="R13" s="8">
        <f t="shared" si="0"/>
        <v>217960.00000000003</v>
      </c>
      <c r="S13" s="1">
        <f t="shared" si="1"/>
        <v>9</v>
      </c>
      <c r="T13" s="31">
        <f t="shared" si="2"/>
        <v>24217.777777777781</v>
      </c>
      <c r="V13" s="321">
        <f t="shared" si="4"/>
        <v>0</v>
      </c>
      <c r="W13" s="321">
        <f t="shared" si="3"/>
        <v>0</v>
      </c>
      <c r="X13" s="321">
        <f t="shared" si="3"/>
        <v>0</v>
      </c>
      <c r="Y13" s="321">
        <f t="shared" si="3"/>
        <v>0</v>
      </c>
      <c r="Z13" s="321">
        <f t="shared" si="3"/>
        <v>0</v>
      </c>
      <c r="AA13" s="321">
        <f t="shared" si="3"/>
        <v>153797.24</v>
      </c>
      <c r="AB13" s="321">
        <f t="shared" si="3"/>
        <v>0</v>
      </c>
      <c r="AC13" s="321">
        <f t="shared" si="3"/>
        <v>0</v>
      </c>
      <c r="AD13" s="321">
        <f t="shared" si="3"/>
        <v>0</v>
      </c>
      <c r="AE13" s="321">
        <f t="shared" si="3"/>
        <v>0</v>
      </c>
      <c r="AF13" s="321">
        <f t="shared" si="3"/>
        <v>0</v>
      </c>
      <c r="AG13" s="70">
        <f t="shared" si="5"/>
        <v>153797.24</v>
      </c>
      <c r="AH13" s="321">
        <f t="shared" si="6"/>
        <v>153797.24</v>
      </c>
      <c r="AI13" s="331">
        <f t="shared" si="7"/>
        <v>0</v>
      </c>
    </row>
    <row r="14" spans="1:35" ht="10.5">
      <c r="A14" s="1" t="s">
        <v>533</v>
      </c>
      <c r="B14" s="42">
        <v>15051882</v>
      </c>
      <c r="C14" s="42"/>
      <c r="D14" s="11" t="s">
        <v>643</v>
      </c>
      <c r="E14" s="11" t="s">
        <v>642</v>
      </c>
      <c r="F14" s="180"/>
      <c r="G14" s="185"/>
      <c r="H14" s="233"/>
      <c r="I14" s="238">
        <v>17552.939999999999</v>
      </c>
      <c r="J14" s="195">
        <v>4845.3</v>
      </c>
      <c r="K14" s="238">
        <v>4159.87</v>
      </c>
      <c r="L14" s="306">
        <v>3503.57</v>
      </c>
      <c r="M14" s="212">
        <v>4404.67</v>
      </c>
      <c r="N14" s="217">
        <v>7104.01</v>
      </c>
      <c r="O14" s="220">
        <v>13124.09</v>
      </c>
      <c r="P14" s="304">
        <v>12243.24</v>
      </c>
      <c r="Q14" s="172">
        <v>8819.61</v>
      </c>
      <c r="R14" s="8">
        <f t="shared" si="0"/>
        <v>75757.3</v>
      </c>
      <c r="S14" s="1">
        <f t="shared" si="1"/>
        <v>9</v>
      </c>
      <c r="T14" s="31">
        <f t="shared" si="2"/>
        <v>8417.4777777777781</v>
      </c>
      <c r="V14" s="321">
        <f t="shared" si="4"/>
        <v>0</v>
      </c>
      <c r="W14" s="321">
        <f t="shared" si="3"/>
        <v>0</v>
      </c>
      <c r="X14" s="321">
        <f t="shared" si="3"/>
        <v>0</v>
      </c>
      <c r="Y14" s="321">
        <f t="shared" si="3"/>
        <v>0</v>
      </c>
      <c r="Z14" s="321">
        <f t="shared" si="3"/>
        <v>0</v>
      </c>
      <c r="AA14" s="321">
        <f t="shared" si="3"/>
        <v>0</v>
      </c>
      <c r="AB14" s="321">
        <f t="shared" si="3"/>
        <v>49199.19</v>
      </c>
      <c r="AC14" s="321">
        <f t="shared" si="3"/>
        <v>0</v>
      </c>
      <c r="AD14" s="321">
        <f t="shared" si="3"/>
        <v>0</v>
      </c>
      <c r="AE14" s="321">
        <f t="shared" si="3"/>
        <v>0</v>
      </c>
      <c r="AF14" s="321">
        <f t="shared" si="3"/>
        <v>0</v>
      </c>
      <c r="AG14" s="70">
        <f t="shared" si="5"/>
        <v>49199.19</v>
      </c>
      <c r="AH14" s="321">
        <f t="shared" si="6"/>
        <v>49199.19</v>
      </c>
      <c r="AI14" s="331">
        <f t="shared" si="7"/>
        <v>0</v>
      </c>
    </row>
    <row r="15" spans="1:35" ht="10.5">
      <c r="A15" s="1" t="s">
        <v>659</v>
      </c>
      <c r="B15" s="4">
        <v>15031812</v>
      </c>
      <c r="C15" s="4"/>
      <c r="D15" s="1" t="s">
        <v>656</v>
      </c>
      <c r="E15" s="1" t="s">
        <v>657</v>
      </c>
      <c r="F15" s="181">
        <v>12296.99</v>
      </c>
      <c r="G15" s="184">
        <v>7612.62</v>
      </c>
      <c r="H15" s="229">
        <f>8889.54+647.39</f>
        <v>9536.93</v>
      </c>
      <c r="I15" s="192">
        <f>15942.11+5982.85</f>
        <v>21924.959999999999</v>
      </c>
      <c r="J15" s="195">
        <f>5879.35+2315.55</f>
        <v>8194.9000000000015</v>
      </c>
      <c r="K15" s="238">
        <f>5034.92+1578.02</f>
        <v>6612.9400000000005</v>
      </c>
      <c r="L15" s="306">
        <f>4958.82+1244.7</f>
        <v>6203.5199999999995</v>
      </c>
      <c r="M15" s="212">
        <f>5357.01+1807.14</f>
        <v>7164.1500000000005</v>
      </c>
      <c r="N15" s="217">
        <f>8610.47+3031.05</f>
        <v>11641.52</v>
      </c>
      <c r="O15" s="220">
        <f>11559.87+4559.5</f>
        <v>16119.37</v>
      </c>
      <c r="P15" s="304">
        <f>11210.45+2668.37</f>
        <v>13878.82</v>
      </c>
      <c r="Q15" s="172">
        <v>11234.38</v>
      </c>
      <c r="R15" s="8">
        <f t="shared" si="0"/>
        <v>132421.1</v>
      </c>
      <c r="S15" s="1">
        <f t="shared" si="1"/>
        <v>12</v>
      </c>
      <c r="T15" s="31">
        <f t="shared" si="2"/>
        <v>11035.091666666667</v>
      </c>
      <c r="V15" s="321">
        <f t="shared" si="4"/>
        <v>0</v>
      </c>
      <c r="W15" s="321">
        <f t="shared" si="3"/>
        <v>0</v>
      </c>
      <c r="X15" s="321">
        <f t="shared" si="3"/>
        <v>0</v>
      </c>
      <c r="Y15" s="321">
        <f t="shared" si="3"/>
        <v>0</v>
      </c>
      <c r="Z15" s="321">
        <f t="shared" si="3"/>
        <v>0</v>
      </c>
      <c r="AA15" s="321">
        <f t="shared" si="3"/>
        <v>0</v>
      </c>
      <c r="AB15" s="321">
        <f t="shared" si="3"/>
        <v>0</v>
      </c>
      <c r="AC15" s="321">
        <f t="shared" si="3"/>
        <v>66241.760000000009</v>
      </c>
      <c r="AD15" s="321">
        <f t="shared" si="3"/>
        <v>0</v>
      </c>
      <c r="AE15" s="321">
        <f t="shared" si="3"/>
        <v>0</v>
      </c>
      <c r="AF15" s="321">
        <f t="shared" si="3"/>
        <v>0</v>
      </c>
      <c r="AG15" s="70">
        <f t="shared" si="5"/>
        <v>66241.760000000009</v>
      </c>
      <c r="AH15" s="321">
        <f t="shared" si="6"/>
        <v>66241.760000000009</v>
      </c>
      <c r="AI15" s="331">
        <f t="shared" si="7"/>
        <v>0</v>
      </c>
    </row>
    <row r="16" spans="1:35" ht="10.5">
      <c r="A16" s="1" t="s">
        <v>533</v>
      </c>
      <c r="B16" s="4">
        <v>7006700</v>
      </c>
      <c r="C16" s="4"/>
      <c r="D16" s="1" t="s">
        <v>654</v>
      </c>
      <c r="E16" s="1" t="s">
        <v>231</v>
      </c>
      <c r="F16" s="181">
        <v>5778.91</v>
      </c>
      <c r="G16" s="184">
        <v>4402.45</v>
      </c>
      <c r="H16" s="229">
        <v>4271.42</v>
      </c>
      <c r="I16" s="192">
        <v>7646.44</v>
      </c>
      <c r="J16" s="195">
        <v>3025.42</v>
      </c>
      <c r="K16" s="238">
        <v>2531.85</v>
      </c>
      <c r="L16" s="306">
        <v>2344.75</v>
      </c>
      <c r="M16" s="212">
        <v>2696.05</v>
      </c>
      <c r="N16" s="217">
        <v>4419.43</v>
      </c>
      <c r="O16" s="220">
        <v>6661.72</v>
      </c>
      <c r="P16" s="304">
        <v>5819.85</v>
      </c>
      <c r="Q16" s="172">
        <v>4577.4799999999996</v>
      </c>
      <c r="R16" s="8">
        <f t="shared" si="0"/>
        <v>54175.770000000004</v>
      </c>
      <c r="S16" s="1">
        <f t="shared" si="1"/>
        <v>12</v>
      </c>
      <c r="T16" s="31">
        <f t="shared" si="2"/>
        <v>4514.6475</v>
      </c>
      <c r="V16" s="321">
        <f t="shared" si="4"/>
        <v>0</v>
      </c>
      <c r="W16" s="321">
        <f t="shared" si="3"/>
        <v>0</v>
      </c>
      <c r="X16" s="321">
        <f t="shared" si="3"/>
        <v>0</v>
      </c>
      <c r="Y16" s="321">
        <f t="shared" si="3"/>
        <v>0</v>
      </c>
      <c r="Z16" s="321">
        <f t="shared" si="3"/>
        <v>0</v>
      </c>
      <c r="AA16" s="321">
        <f t="shared" si="3"/>
        <v>0</v>
      </c>
      <c r="AB16" s="321">
        <f t="shared" si="3"/>
        <v>26519.280000000002</v>
      </c>
      <c r="AC16" s="321">
        <f t="shared" si="3"/>
        <v>0</v>
      </c>
      <c r="AD16" s="321">
        <f t="shared" si="3"/>
        <v>0</v>
      </c>
      <c r="AE16" s="321">
        <f t="shared" si="3"/>
        <v>0</v>
      </c>
      <c r="AF16" s="321">
        <f t="shared" si="3"/>
        <v>0</v>
      </c>
      <c r="AG16" s="70">
        <f t="shared" si="5"/>
        <v>26519.280000000002</v>
      </c>
      <c r="AH16" s="321">
        <f t="shared" si="6"/>
        <v>26519.280000000002</v>
      </c>
      <c r="AI16" s="331">
        <f t="shared" si="7"/>
        <v>0</v>
      </c>
    </row>
    <row r="17" spans="1:35" ht="10.5">
      <c r="A17" s="1" t="s">
        <v>659</v>
      </c>
      <c r="B17" s="4">
        <v>7007500</v>
      </c>
      <c r="C17" s="4">
        <v>95</v>
      </c>
      <c r="D17" s="1" t="s">
        <v>234</v>
      </c>
      <c r="E17" s="1" t="s">
        <v>234</v>
      </c>
      <c r="F17" s="181">
        <v>8650.2000000000007</v>
      </c>
      <c r="G17" s="184">
        <v>7201.78</v>
      </c>
      <c r="H17" s="229">
        <v>7703.17</v>
      </c>
      <c r="I17" s="192">
        <v>10601.14</v>
      </c>
      <c r="J17" s="195">
        <v>6614.63</v>
      </c>
      <c r="K17" s="238">
        <v>6432.8</v>
      </c>
      <c r="L17" s="306">
        <v>5308.29</v>
      </c>
      <c r="M17" s="212">
        <v>5965.17</v>
      </c>
      <c r="N17" s="217">
        <v>8062.35</v>
      </c>
      <c r="O17" s="220">
        <v>9163.81</v>
      </c>
      <c r="P17" s="304">
        <v>8694.9</v>
      </c>
      <c r="Q17" s="172">
        <v>8264.15</v>
      </c>
      <c r="R17" s="8">
        <f t="shared" si="0"/>
        <v>92662.389999999985</v>
      </c>
      <c r="S17" s="1">
        <f t="shared" si="1"/>
        <v>12</v>
      </c>
      <c r="T17" s="31">
        <f t="shared" si="2"/>
        <v>7721.8658333333324</v>
      </c>
      <c r="V17" s="321">
        <f t="shared" si="4"/>
        <v>0</v>
      </c>
      <c r="W17" s="321">
        <f t="shared" si="3"/>
        <v>0</v>
      </c>
      <c r="X17" s="321">
        <f t="shared" si="3"/>
        <v>0</v>
      </c>
      <c r="Y17" s="321">
        <f t="shared" si="3"/>
        <v>0</v>
      </c>
      <c r="Z17" s="321">
        <f t="shared" si="3"/>
        <v>0</v>
      </c>
      <c r="AA17" s="321">
        <f t="shared" si="3"/>
        <v>0</v>
      </c>
      <c r="AB17" s="321">
        <f t="shared" si="3"/>
        <v>0</v>
      </c>
      <c r="AC17" s="321">
        <f t="shared" si="3"/>
        <v>45458.67</v>
      </c>
      <c r="AD17" s="321">
        <f t="shared" si="3"/>
        <v>0</v>
      </c>
      <c r="AE17" s="321">
        <f t="shared" si="3"/>
        <v>0</v>
      </c>
      <c r="AF17" s="321">
        <f t="shared" si="3"/>
        <v>0</v>
      </c>
      <c r="AG17" s="70">
        <f t="shared" si="5"/>
        <v>45458.67</v>
      </c>
      <c r="AH17" s="321">
        <f t="shared" si="6"/>
        <v>45458.67</v>
      </c>
      <c r="AI17" s="331">
        <f t="shared" si="7"/>
        <v>0</v>
      </c>
    </row>
    <row r="18" spans="1:35" ht="10.5">
      <c r="A18" s="1" t="s">
        <v>535</v>
      </c>
      <c r="B18" s="4">
        <v>7005300</v>
      </c>
      <c r="C18" s="4">
        <v>96</v>
      </c>
      <c r="D18" s="1" t="s">
        <v>235</v>
      </c>
      <c r="E18" s="1" t="s">
        <v>235</v>
      </c>
      <c r="F18" s="181">
        <v>23861.93</v>
      </c>
      <c r="G18" s="184">
        <v>17767.46</v>
      </c>
      <c r="H18" s="229">
        <v>20739.86</v>
      </c>
      <c r="I18" s="192">
        <v>36670.57</v>
      </c>
      <c r="J18" s="195">
        <v>14797.09</v>
      </c>
      <c r="K18" s="238">
        <v>8786.98</v>
      </c>
      <c r="L18" s="306">
        <v>9677.84</v>
      </c>
      <c r="M18" s="212">
        <v>10219.41</v>
      </c>
      <c r="N18" s="217">
        <v>16778.95</v>
      </c>
      <c r="O18" s="220">
        <v>23068.720000000001</v>
      </c>
      <c r="P18" s="304">
        <v>23057.919999999998</v>
      </c>
      <c r="Q18" s="172">
        <v>16339.18</v>
      </c>
      <c r="R18" s="8">
        <f t="shared" si="0"/>
        <v>221765.91000000003</v>
      </c>
      <c r="S18" s="1">
        <f t="shared" si="1"/>
        <v>12</v>
      </c>
      <c r="T18" s="31">
        <f t="shared" si="2"/>
        <v>18480.492500000004</v>
      </c>
      <c r="V18" s="321">
        <f t="shared" si="4"/>
        <v>0</v>
      </c>
      <c r="W18" s="321">
        <f t="shared" si="4"/>
        <v>0</v>
      </c>
      <c r="X18" s="321">
        <f t="shared" si="4"/>
        <v>0</v>
      </c>
      <c r="Y18" s="321">
        <f t="shared" si="4"/>
        <v>0</v>
      </c>
      <c r="Z18" s="321">
        <f t="shared" si="4"/>
        <v>0</v>
      </c>
      <c r="AA18" s="321">
        <f t="shared" si="4"/>
        <v>99142.01999999999</v>
      </c>
      <c r="AB18" s="321">
        <f t="shared" si="4"/>
        <v>0</v>
      </c>
      <c r="AC18" s="321">
        <f t="shared" si="4"/>
        <v>0</v>
      </c>
      <c r="AD18" s="321">
        <f t="shared" si="4"/>
        <v>0</v>
      </c>
      <c r="AE18" s="321">
        <f t="shared" si="4"/>
        <v>0</v>
      </c>
      <c r="AF18" s="321">
        <f t="shared" si="4"/>
        <v>0</v>
      </c>
      <c r="AG18" s="70">
        <f t="shared" si="5"/>
        <v>99142.01999999999</v>
      </c>
      <c r="AH18" s="321">
        <f t="shared" si="6"/>
        <v>99142.01999999999</v>
      </c>
      <c r="AI18" s="331">
        <f t="shared" si="7"/>
        <v>0</v>
      </c>
    </row>
    <row r="19" spans="1:35" ht="10.5">
      <c r="A19" s="1" t="s">
        <v>530</v>
      </c>
      <c r="B19" s="4">
        <v>15036315</v>
      </c>
      <c r="C19" s="4">
        <v>97</v>
      </c>
      <c r="D19" s="1" t="s">
        <v>503</v>
      </c>
      <c r="E19" s="1" t="s">
        <v>503</v>
      </c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8">
        <f t="shared" si="0"/>
        <v>0</v>
      </c>
      <c r="S19" s="1">
        <f t="shared" si="1"/>
        <v>0</v>
      </c>
      <c r="T19" s="31">
        <f t="shared" si="2"/>
        <v>0</v>
      </c>
      <c r="V19" s="321">
        <f t="shared" si="4"/>
        <v>0</v>
      </c>
      <c r="W19" s="321">
        <f t="shared" si="4"/>
        <v>0</v>
      </c>
      <c r="X19" s="321">
        <f t="shared" si="4"/>
        <v>0</v>
      </c>
      <c r="Y19" s="321">
        <f t="shared" si="4"/>
        <v>0</v>
      </c>
      <c r="Z19" s="321">
        <f t="shared" si="4"/>
        <v>0</v>
      </c>
      <c r="AA19" s="321">
        <f t="shared" si="4"/>
        <v>0</v>
      </c>
      <c r="AB19" s="321">
        <f t="shared" si="4"/>
        <v>0</v>
      </c>
      <c r="AC19" s="321">
        <f t="shared" si="4"/>
        <v>0</v>
      </c>
      <c r="AD19" s="321">
        <f t="shared" si="4"/>
        <v>0</v>
      </c>
      <c r="AE19" s="321">
        <f t="shared" si="4"/>
        <v>0</v>
      </c>
      <c r="AF19" s="321">
        <f t="shared" si="4"/>
        <v>0</v>
      </c>
      <c r="AG19" s="70">
        <f t="shared" si="5"/>
        <v>0</v>
      </c>
      <c r="AH19" s="321">
        <f t="shared" si="6"/>
        <v>0</v>
      </c>
      <c r="AI19" s="331">
        <f t="shared" si="7"/>
        <v>0</v>
      </c>
    </row>
    <row r="20" spans="1:35" ht="10.5">
      <c r="A20" s="1" t="s">
        <v>530</v>
      </c>
      <c r="B20" s="4">
        <v>15051244</v>
      </c>
      <c r="C20" s="4"/>
      <c r="D20" s="1" t="s">
        <v>503</v>
      </c>
      <c r="E20" s="1" t="s">
        <v>651</v>
      </c>
      <c r="F20" s="181">
        <v>18204.25</v>
      </c>
      <c r="G20" s="184">
        <v>15309.82</v>
      </c>
      <c r="H20" s="229">
        <v>16206.52</v>
      </c>
      <c r="I20" s="192">
        <v>24605.52</v>
      </c>
      <c r="J20" s="195">
        <v>13106.76</v>
      </c>
      <c r="K20" s="238">
        <v>10933.34</v>
      </c>
      <c r="L20" s="32"/>
      <c r="M20" s="212">
        <v>12501.12</v>
      </c>
      <c r="N20" s="217">
        <v>15700.26</v>
      </c>
      <c r="O20" s="220">
        <v>19276.439999999999</v>
      </c>
      <c r="P20" s="304">
        <v>17703.599999999999</v>
      </c>
      <c r="Q20" s="172">
        <v>15908.16</v>
      </c>
      <c r="R20" s="8">
        <f t="shared" si="0"/>
        <v>179455.78999999998</v>
      </c>
      <c r="S20" s="1">
        <f t="shared" si="1"/>
        <v>11</v>
      </c>
      <c r="T20" s="31">
        <f t="shared" si="2"/>
        <v>16314.162727272726</v>
      </c>
      <c r="V20" s="321">
        <f t="shared" si="4"/>
        <v>0</v>
      </c>
      <c r="W20" s="321">
        <f t="shared" si="4"/>
        <v>0</v>
      </c>
      <c r="X20" s="321">
        <f t="shared" si="4"/>
        <v>0</v>
      </c>
      <c r="Y20" s="321">
        <f t="shared" si="4"/>
        <v>81089.58</v>
      </c>
      <c r="Z20" s="321">
        <f t="shared" si="4"/>
        <v>0</v>
      </c>
      <c r="AA20" s="321">
        <f t="shared" si="4"/>
        <v>0</v>
      </c>
      <c r="AB20" s="321">
        <f t="shared" si="4"/>
        <v>0</v>
      </c>
      <c r="AC20" s="321">
        <f t="shared" si="4"/>
        <v>0</v>
      </c>
      <c r="AD20" s="321">
        <f t="shared" si="4"/>
        <v>0</v>
      </c>
      <c r="AE20" s="321">
        <f t="shared" si="4"/>
        <v>0</v>
      </c>
      <c r="AF20" s="321">
        <f t="shared" si="4"/>
        <v>0</v>
      </c>
      <c r="AG20" s="70">
        <f t="shared" si="5"/>
        <v>81089.58</v>
      </c>
      <c r="AH20" s="321">
        <f t="shared" si="6"/>
        <v>81089.58</v>
      </c>
      <c r="AI20" s="331">
        <f t="shared" si="7"/>
        <v>0</v>
      </c>
    </row>
    <row r="21" spans="1:35" ht="10.5">
      <c r="A21" s="1" t="s">
        <v>533</v>
      </c>
      <c r="B21" s="4">
        <v>15052479</v>
      </c>
      <c r="C21" s="4"/>
      <c r="D21" s="1" t="s">
        <v>649</v>
      </c>
      <c r="E21" s="1" t="s">
        <v>647</v>
      </c>
      <c r="F21" s="180"/>
      <c r="G21" s="185"/>
      <c r="H21" s="233"/>
      <c r="I21" s="193"/>
      <c r="J21" s="196"/>
      <c r="K21" s="238">
        <v>1022.17</v>
      </c>
      <c r="L21" s="306">
        <v>1475.18</v>
      </c>
      <c r="M21" s="212">
        <v>2043.01</v>
      </c>
      <c r="N21" s="217">
        <v>3516.36</v>
      </c>
      <c r="O21" s="220">
        <v>3371.16</v>
      </c>
      <c r="P21" s="304">
        <v>3153.27</v>
      </c>
      <c r="Q21" s="172">
        <v>3297.9</v>
      </c>
      <c r="R21" s="8">
        <f t="shared" si="0"/>
        <v>17879.05</v>
      </c>
      <c r="S21" s="1">
        <f t="shared" si="1"/>
        <v>7</v>
      </c>
      <c r="T21" s="31">
        <f t="shared" si="2"/>
        <v>2554.15</v>
      </c>
      <c r="V21" s="321">
        <f t="shared" si="4"/>
        <v>0</v>
      </c>
      <c r="W21" s="321">
        <f t="shared" si="4"/>
        <v>0</v>
      </c>
      <c r="X21" s="321">
        <f t="shared" si="4"/>
        <v>0</v>
      </c>
      <c r="Y21" s="321">
        <f t="shared" si="4"/>
        <v>0</v>
      </c>
      <c r="Z21" s="321">
        <f t="shared" si="4"/>
        <v>0</v>
      </c>
      <c r="AA21" s="321">
        <f t="shared" si="4"/>
        <v>0</v>
      </c>
      <c r="AB21" s="321">
        <f t="shared" si="4"/>
        <v>16856.88</v>
      </c>
      <c r="AC21" s="321">
        <f t="shared" si="4"/>
        <v>0</v>
      </c>
      <c r="AD21" s="321">
        <f t="shared" si="4"/>
        <v>0</v>
      </c>
      <c r="AE21" s="321">
        <f t="shared" si="4"/>
        <v>0</v>
      </c>
      <c r="AF21" s="321">
        <f t="shared" si="4"/>
        <v>0</v>
      </c>
      <c r="AG21" s="70">
        <f t="shared" si="5"/>
        <v>16856.88</v>
      </c>
      <c r="AH21" s="321">
        <f t="shared" si="6"/>
        <v>16856.88</v>
      </c>
      <c r="AI21" s="331">
        <f t="shared" si="7"/>
        <v>0</v>
      </c>
    </row>
    <row r="22" spans="1:35" ht="10.5">
      <c r="A22" s="1" t="s">
        <v>537</v>
      </c>
      <c r="B22" s="4">
        <v>15036832</v>
      </c>
      <c r="C22" s="4"/>
      <c r="D22" s="1" t="s">
        <v>504</v>
      </c>
      <c r="E22" s="1" t="s">
        <v>504</v>
      </c>
      <c r="F22" s="181">
        <v>20256.509999999998</v>
      </c>
      <c r="G22" s="184">
        <v>17008.82</v>
      </c>
      <c r="H22" s="229">
        <v>19926.79</v>
      </c>
      <c r="I22" s="192">
        <v>30377.74</v>
      </c>
      <c r="J22" s="195">
        <v>16727.18</v>
      </c>
      <c r="K22" s="238">
        <v>10892.31</v>
      </c>
      <c r="L22" s="306">
        <v>12347.3</v>
      </c>
      <c r="M22" s="212">
        <v>15502.71</v>
      </c>
      <c r="N22" s="217">
        <v>17524.55</v>
      </c>
      <c r="O22" s="220">
        <v>24323.62</v>
      </c>
      <c r="P22" s="304">
        <v>21802.98</v>
      </c>
      <c r="Q22" s="172">
        <v>19255.46</v>
      </c>
      <c r="R22" s="8">
        <f t="shared" si="0"/>
        <v>225945.97</v>
      </c>
      <c r="S22" s="1">
        <f t="shared" si="1"/>
        <v>12</v>
      </c>
      <c r="T22" s="31">
        <f t="shared" si="2"/>
        <v>18828.830833333333</v>
      </c>
      <c r="V22" s="321">
        <f t="shared" si="4"/>
        <v>0</v>
      </c>
      <c r="W22" s="321">
        <f t="shared" si="4"/>
        <v>110756.62</v>
      </c>
      <c r="X22" s="321">
        <f t="shared" si="4"/>
        <v>0</v>
      </c>
      <c r="Y22" s="321">
        <f t="shared" si="4"/>
        <v>0</v>
      </c>
      <c r="Z22" s="321">
        <f t="shared" si="4"/>
        <v>0</v>
      </c>
      <c r="AA22" s="321">
        <f t="shared" si="4"/>
        <v>0</v>
      </c>
      <c r="AB22" s="321">
        <f t="shared" si="4"/>
        <v>0</v>
      </c>
      <c r="AC22" s="321">
        <f t="shared" si="4"/>
        <v>0</v>
      </c>
      <c r="AD22" s="321">
        <f t="shared" si="4"/>
        <v>0</v>
      </c>
      <c r="AE22" s="321">
        <f t="shared" si="4"/>
        <v>0</v>
      </c>
      <c r="AF22" s="321">
        <f t="shared" si="4"/>
        <v>0</v>
      </c>
      <c r="AG22" s="70">
        <f t="shared" si="5"/>
        <v>110756.62</v>
      </c>
      <c r="AH22" s="321">
        <f t="shared" si="6"/>
        <v>110756.62</v>
      </c>
      <c r="AI22" s="331">
        <f t="shared" si="7"/>
        <v>0</v>
      </c>
    </row>
    <row r="23" spans="1:35" ht="10.5">
      <c r="A23" s="1" t="s">
        <v>660</v>
      </c>
      <c r="B23" s="4">
        <v>7002000</v>
      </c>
      <c r="C23" s="4"/>
      <c r="D23" s="1" t="s">
        <v>629</v>
      </c>
      <c r="E23" s="1" t="s">
        <v>505</v>
      </c>
      <c r="F23" s="181">
        <v>9600.1200000000008</v>
      </c>
      <c r="G23" s="184">
        <v>7888.56</v>
      </c>
      <c r="H23" s="229">
        <v>9457.51</v>
      </c>
      <c r="I23" s="192">
        <v>10059.73</v>
      </c>
      <c r="J23" s="195">
        <v>9004.0300000000007</v>
      </c>
      <c r="K23" s="238">
        <v>6273.39</v>
      </c>
      <c r="L23" s="306">
        <v>4929.38</v>
      </c>
      <c r="M23" s="212">
        <v>4885.41</v>
      </c>
      <c r="N23" s="217">
        <v>7329.51</v>
      </c>
      <c r="O23" s="220">
        <v>9258.81</v>
      </c>
      <c r="P23" s="304">
        <v>7328.24</v>
      </c>
      <c r="Q23" s="172">
        <v>9199.5400000000009</v>
      </c>
      <c r="R23" s="8">
        <f t="shared" si="0"/>
        <v>95214.229999999981</v>
      </c>
      <c r="S23" s="1">
        <f t="shared" si="1"/>
        <v>12</v>
      </c>
      <c r="T23" s="31">
        <f t="shared" si="2"/>
        <v>7934.5191666666651</v>
      </c>
      <c r="V23" s="321">
        <f t="shared" si="4"/>
        <v>0</v>
      </c>
      <c r="W23" s="321">
        <f t="shared" si="4"/>
        <v>0</v>
      </c>
      <c r="X23" s="321">
        <f t="shared" si="4"/>
        <v>0</v>
      </c>
      <c r="Y23" s="321">
        <f t="shared" si="4"/>
        <v>0</v>
      </c>
      <c r="Z23" s="321">
        <f t="shared" si="4"/>
        <v>0</v>
      </c>
      <c r="AA23" s="321">
        <f t="shared" si="4"/>
        <v>0</v>
      </c>
      <c r="AB23" s="321">
        <f t="shared" si="4"/>
        <v>0</v>
      </c>
      <c r="AC23" s="321">
        <f t="shared" si="4"/>
        <v>0</v>
      </c>
      <c r="AD23" s="321">
        <f t="shared" si="4"/>
        <v>0</v>
      </c>
      <c r="AE23" s="321">
        <f t="shared" si="4"/>
        <v>42930.89</v>
      </c>
      <c r="AF23" s="321">
        <f t="shared" si="4"/>
        <v>0</v>
      </c>
      <c r="AG23" s="70">
        <f t="shared" si="5"/>
        <v>42930.89</v>
      </c>
      <c r="AH23" s="321">
        <f t="shared" si="6"/>
        <v>42930.89</v>
      </c>
      <c r="AI23" s="331">
        <f t="shared" si="7"/>
        <v>0</v>
      </c>
    </row>
    <row r="24" spans="1:35" ht="10.5">
      <c r="A24" s="1" t="s">
        <v>533</v>
      </c>
      <c r="B24" s="4">
        <v>15007853</v>
      </c>
      <c r="C24" s="4"/>
      <c r="D24" s="1" t="s">
        <v>632</v>
      </c>
      <c r="E24" s="1" t="s">
        <v>238</v>
      </c>
      <c r="F24" s="181">
        <v>4336.3100000000004</v>
      </c>
      <c r="G24" s="184">
        <v>4013.64</v>
      </c>
      <c r="H24" s="229">
        <v>3678.74</v>
      </c>
      <c r="I24" s="192">
        <v>5727.65</v>
      </c>
      <c r="J24" s="212">
        <v>3005.12</v>
      </c>
      <c r="K24" s="212">
        <v>1893.41</v>
      </c>
      <c r="L24" s="192">
        <v>1741.36</v>
      </c>
      <c r="M24" s="212">
        <v>1967.56</v>
      </c>
      <c r="N24" s="192">
        <v>3629.55</v>
      </c>
      <c r="O24" s="192">
        <v>5180.45</v>
      </c>
      <c r="P24" s="192">
        <v>3908.23</v>
      </c>
      <c r="Q24" s="192">
        <v>3033.31</v>
      </c>
      <c r="R24" s="8">
        <f t="shared" si="0"/>
        <v>42115.33</v>
      </c>
      <c r="S24" s="1">
        <f t="shared" si="1"/>
        <v>12</v>
      </c>
      <c r="T24" s="31">
        <f t="shared" si="2"/>
        <v>3509.6108333333336</v>
      </c>
      <c r="V24" s="321">
        <f t="shared" si="4"/>
        <v>0</v>
      </c>
      <c r="W24" s="321">
        <f t="shared" si="4"/>
        <v>0</v>
      </c>
      <c r="X24" s="321">
        <f t="shared" si="4"/>
        <v>0</v>
      </c>
      <c r="Y24" s="321">
        <f t="shared" si="4"/>
        <v>0</v>
      </c>
      <c r="Z24" s="321">
        <f t="shared" si="4"/>
        <v>0</v>
      </c>
      <c r="AA24" s="321">
        <f t="shared" si="4"/>
        <v>0</v>
      </c>
      <c r="AB24" s="321">
        <f t="shared" si="4"/>
        <v>19460.460000000003</v>
      </c>
      <c r="AC24" s="321">
        <f t="shared" si="4"/>
        <v>0</v>
      </c>
      <c r="AD24" s="321">
        <f t="shared" si="4"/>
        <v>0</v>
      </c>
      <c r="AE24" s="321">
        <f t="shared" si="4"/>
        <v>0</v>
      </c>
      <c r="AF24" s="321">
        <f t="shared" si="4"/>
        <v>0</v>
      </c>
      <c r="AG24" s="70">
        <f t="shared" si="5"/>
        <v>19460.460000000003</v>
      </c>
      <c r="AH24" s="321">
        <f t="shared" si="6"/>
        <v>19460.460000000003</v>
      </c>
      <c r="AI24" s="331">
        <f t="shared" si="7"/>
        <v>0</v>
      </c>
    </row>
    <row r="25" spans="1:35" ht="10.5">
      <c r="A25" s="1" t="s">
        <v>539</v>
      </c>
      <c r="B25" s="4">
        <v>7000700</v>
      </c>
      <c r="C25" s="4">
        <v>99</v>
      </c>
      <c r="D25" s="1" t="s">
        <v>239</v>
      </c>
      <c r="E25" s="1" t="s">
        <v>239</v>
      </c>
      <c r="F25" s="181">
        <v>615</v>
      </c>
      <c r="G25" s="229">
        <v>630</v>
      </c>
      <c r="H25" s="229">
        <v>624</v>
      </c>
      <c r="I25" s="192">
        <v>627</v>
      </c>
      <c r="J25" s="32"/>
      <c r="K25" s="306">
        <v>597</v>
      </c>
      <c r="L25" s="306">
        <v>598.5</v>
      </c>
      <c r="M25" s="212">
        <v>597</v>
      </c>
      <c r="N25" s="217">
        <v>604.5</v>
      </c>
      <c r="O25" s="220">
        <v>606</v>
      </c>
      <c r="P25" s="172">
        <v>609</v>
      </c>
      <c r="Q25" s="181">
        <v>612</v>
      </c>
      <c r="R25" s="8">
        <f t="shared" si="0"/>
        <v>6720</v>
      </c>
      <c r="S25" s="1">
        <f t="shared" si="1"/>
        <v>11</v>
      </c>
      <c r="T25" s="31">
        <f t="shared" si="2"/>
        <v>610.90909090909088</v>
      </c>
      <c r="V25" s="321">
        <f t="shared" si="4"/>
        <v>3627</v>
      </c>
      <c r="W25" s="321">
        <f t="shared" si="4"/>
        <v>0</v>
      </c>
      <c r="X25" s="321">
        <f t="shared" si="4"/>
        <v>0</v>
      </c>
      <c r="Y25" s="321">
        <f t="shared" si="4"/>
        <v>0</v>
      </c>
      <c r="Z25" s="321">
        <f t="shared" si="4"/>
        <v>0</v>
      </c>
      <c r="AA25" s="321">
        <f t="shared" si="4"/>
        <v>0</v>
      </c>
      <c r="AB25" s="321">
        <f t="shared" si="4"/>
        <v>0</v>
      </c>
      <c r="AC25" s="321">
        <f t="shared" si="4"/>
        <v>0</v>
      </c>
      <c r="AD25" s="321">
        <f t="shared" si="4"/>
        <v>0</v>
      </c>
      <c r="AE25" s="321">
        <f t="shared" si="4"/>
        <v>0</v>
      </c>
      <c r="AF25" s="321">
        <f t="shared" si="4"/>
        <v>0</v>
      </c>
      <c r="AG25" s="70">
        <f t="shared" si="5"/>
        <v>3627</v>
      </c>
      <c r="AH25" s="321">
        <f t="shared" si="6"/>
        <v>3627</v>
      </c>
      <c r="AI25" s="331">
        <f t="shared" si="7"/>
        <v>0</v>
      </c>
    </row>
    <row r="26" spans="1:35" ht="10.5">
      <c r="A26" s="1" t="s">
        <v>533</v>
      </c>
      <c r="B26" s="4">
        <v>15010839</v>
      </c>
      <c r="C26" s="4"/>
      <c r="D26" s="1" t="s">
        <v>300</v>
      </c>
      <c r="E26" s="1" t="s">
        <v>300</v>
      </c>
      <c r="F26" s="181">
        <v>15601.39</v>
      </c>
      <c r="G26" s="184">
        <v>8130.49</v>
      </c>
      <c r="H26" s="229">
        <v>10865.42</v>
      </c>
      <c r="I26" s="192">
        <v>0</v>
      </c>
      <c r="J26" s="195"/>
      <c r="K26" s="238"/>
      <c r="L26" s="306"/>
      <c r="M26" s="212"/>
      <c r="N26" s="217"/>
      <c r="O26" s="220"/>
      <c r="P26" s="304"/>
      <c r="Q26" s="172"/>
      <c r="R26" s="8">
        <f t="shared" si="0"/>
        <v>34597.299999999996</v>
      </c>
      <c r="S26" s="1">
        <f t="shared" si="1"/>
        <v>4</v>
      </c>
      <c r="T26" s="31">
        <f t="shared" si="2"/>
        <v>8649.3249999999989</v>
      </c>
      <c r="V26" s="321">
        <f t="shared" si="4"/>
        <v>0</v>
      </c>
      <c r="W26" s="321">
        <f t="shared" si="4"/>
        <v>0</v>
      </c>
      <c r="X26" s="321">
        <f t="shared" si="4"/>
        <v>0</v>
      </c>
      <c r="Y26" s="321">
        <f t="shared" si="4"/>
        <v>0</v>
      </c>
      <c r="Z26" s="321">
        <f t="shared" si="4"/>
        <v>0</v>
      </c>
      <c r="AA26" s="321">
        <f t="shared" si="4"/>
        <v>0</v>
      </c>
      <c r="AB26" s="321">
        <f t="shared" si="4"/>
        <v>0</v>
      </c>
      <c r="AC26" s="321">
        <f t="shared" si="4"/>
        <v>0</v>
      </c>
      <c r="AD26" s="321">
        <f t="shared" si="4"/>
        <v>0</v>
      </c>
      <c r="AE26" s="321">
        <f t="shared" si="4"/>
        <v>0</v>
      </c>
      <c r="AF26" s="321">
        <f t="shared" si="4"/>
        <v>0</v>
      </c>
      <c r="AG26" s="70">
        <f t="shared" si="5"/>
        <v>0</v>
      </c>
      <c r="AH26" s="321">
        <f t="shared" si="6"/>
        <v>0</v>
      </c>
      <c r="AI26" s="331">
        <f t="shared" si="7"/>
        <v>0</v>
      </c>
    </row>
    <row r="27" spans="1:35" ht="10.5">
      <c r="A27" s="1" t="s">
        <v>533</v>
      </c>
      <c r="B27" s="4">
        <v>15005502</v>
      </c>
      <c r="C27" s="4">
        <v>137</v>
      </c>
      <c r="D27" s="1" t="s">
        <v>597</v>
      </c>
      <c r="E27" s="1" t="s">
        <v>506</v>
      </c>
      <c r="F27" s="181">
        <v>30882.240000000002</v>
      </c>
      <c r="G27" s="184">
        <v>25937.7</v>
      </c>
      <c r="H27" s="229">
        <v>25900.32</v>
      </c>
      <c r="I27" s="192">
        <v>44146.080000000002</v>
      </c>
      <c r="J27" s="195">
        <v>19056.48</v>
      </c>
      <c r="K27" s="238">
        <v>15191.98</v>
      </c>
      <c r="L27" s="212">
        <v>13709.94</v>
      </c>
      <c r="M27" s="212">
        <v>16459.2</v>
      </c>
      <c r="N27" s="217">
        <v>18274.86</v>
      </c>
      <c r="O27" s="304">
        <v>30102.48</v>
      </c>
      <c r="P27" s="304">
        <v>29475.599999999999</v>
      </c>
      <c r="Q27" s="172">
        <v>23569.74</v>
      </c>
      <c r="R27" s="8">
        <f t="shared" si="0"/>
        <v>292706.62000000005</v>
      </c>
      <c r="S27" s="1">
        <f t="shared" si="1"/>
        <v>12</v>
      </c>
      <c r="T27" s="31">
        <f t="shared" si="2"/>
        <v>24392.218333333338</v>
      </c>
      <c r="V27" s="321">
        <f t="shared" si="4"/>
        <v>0</v>
      </c>
      <c r="W27" s="321">
        <f t="shared" si="4"/>
        <v>0</v>
      </c>
      <c r="X27" s="321">
        <f t="shared" si="4"/>
        <v>0</v>
      </c>
      <c r="Y27" s="321">
        <f t="shared" si="4"/>
        <v>0</v>
      </c>
      <c r="Z27" s="321">
        <f t="shared" si="4"/>
        <v>0</v>
      </c>
      <c r="AA27" s="321">
        <f t="shared" si="4"/>
        <v>0</v>
      </c>
      <c r="AB27" s="321">
        <f t="shared" si="4"/>
        <v>131591.81999999998</v>
      </c>
      <c r="AC27" s="321">
        <f t="shared" si="4"/>
        <v>0</v>
      </c>
      <c r="AD27" s="321">
        <f t="shared" si="4"/>
        <v>0</v>
      </c>
      <c r="AE27" s="321">
        <f t="shared" si="4"/>
        <v>0</v>
      </c>
      <c r="AF27" s="321">
        <f t="shared" si="4"/>
        <v>0</v>
      </c>
      <c r="AG27" s="70">
        <f t="shared" si="5"/>
        <v>131591.81999999998</v>
      </c>
      <c r="AH27" s="321">
        <f t="shared" si="6"/>
        <v>131591.81999999998</v>
      </c>
      <c r="AI27" s="331">
        <f t="shared" si="7"/>
        <v>0</v>
      </c>
    </row>
    <row r="28" spans="1:35" ht="10.5">
      <c r="A28" s="1" t="s">
        <v>533</v>
      </c>
      <c r="B28" s="4">
        <v>7000800</v>
      </c>
      <c r="C28" s="4">
        <v>100</v>
      </c>
      <c r="D28" s="1" t="s">
        <v>627</v>
      </c>
      <c r="E28" s="1" t="s">
        <v>241</v>
      </c>
      <c r="F28" s="181">
        <v>4430.24</v>
      </c>
      <c r="G28" s="184">
        <v>4174.9799999999996</v>
      </c>
      <c r="H28" s="229">
        <v>3950.84</v>
      </c>
      <c r="I28" s="192">
        <v>4785.6000000000004</v>
      </c>
      <c r="J28" s="195">
        <v>3666.91</v>
      </c>
      <c r="K28" s="238">
        <v>3177.46</v>
      </c>
      <c r="L28" s="306">
        <v>3463.17</v>
      </c>
      <c r="M28" s="212">
        <v>2969.75</v>
      </c>
      <c r="N28" s="217">
        <v>3867.24</v>
      </c>
      <c r="O28" s="220">
        <v>4562.6499999999996</v>
      </c>
      <c r="P28" s="304">
        <v>4197.3900000000003</v>
      </c>
      <c r="Q28" s="172">
        <v>3909.86</v>
      </c>
      <c r="R28" s="8">
        <f t="shared" si="0"/>
        <v>47156.09</v>
      </c>
      <c r="S28" s="1">
        <f t="shared" si="1"/>
        <v>12</v>
      </c>
      <c r="T28" s="31">
        <f t="shared" si="2"/>
        <v>3929.6741666666662</v>
      </c>
      <c r="V28" s="321">
        <f t="shared" si="4"/>
        <v>0</v>
      </c>
      <c r="W28" s="321">
        <f t="shared" si="4"/>
        <v>0</v>
      </c>
      <c r="X28" s="321">
        <f t="shared" si="4"/>
        <v>0</v>
      </c>
      <c r="Y28" s="321">
        <f t="shared" si="4"/>
        <v>0</v>
      </c>
      <c r="Z28" s="321">
        <f t="shared" si="4"/>
        <v>0</v>
      </c>
      <c r="AA28" s="321">
        <f t="shared" si="4"/>
        <v>0</v>
      </c>
      <c r="AB28" s="321">
        <f t="shared" si="4"/>
        <v>22970.06</v>
      </c>
      <c r="AC28" s="321">
        <f t="shared" si="4"/>
        <v>0</v>
      </c>
      <c r="AD28" s="321">
        <f t="shared" si="4"/>
        <v>0</v>
      </c>
      <c r="AE28" s="321">
        <f t="shared" si="4"/>
        <v>0</v>
      </c>
      <c r="AF28" s="321">
        <f t="shared" si="4"/>
        <v>0</v>
      </c>
      <c r="AG28" s="70">
        <f t="shared" si="5"/>
        <v>22970.06</v>
      </c>
      <c r="AH28" s="321">
        <f t="shared" si="6"/>
        <v>22970.06</v>
      </c>
      <c r="AI28" s="331">
        <f t="shared" si="7"/>
        <v>0</v>
      </c>
    </row>
    <row r="29" spans="1:35" ht="10.5">
      <c r="B29" s="4">
        <v>15033786</v>
      </c>
      <c r="C29" s="4"/>
      <c r="D29" s="1" t="s">
        <v>563</v>
      </c>
      <c r="E29" s="1" t="s">
        <v>563</v>
      </c>
      <c r="F29" s="181">
        <v>804.12</v>
      </c>
      <c r="G29" s="229">
        <v>654</v>
      </c>
      <c r="H29" s="229">
        <v>1266</v>
      </c>
      <c r="I29" s="192">
        <v>2259.7800000000002</v>
      </c>
      <c r="J29" s="195">
        <v>252</v>
      </c>
      <c r="K29" s="238"/>
      <c r="L29" s="306"/>
      <c r="M29" s="212"/>
      <c r="N29" s="220">
        <v>478.5</v>
      </c>
      <c r="O29" s="172">
        <v>1769.4</v>
      </c>
      <c r="P29" s="172">
        <v>1746</v>
      </c>
      <c r="Q29" s="172">
        <v>1075.5</v>
      </c>
      <c r="R29" s="8">
        <f t="shared" si="0"/>
        <v>10305.299999999999</v>
      </c>
      <c r="S29" s="1">
        <f t="shared" si="1"/>
        <v>9</v>
      </c>
      <c r="T29" s="31">
        <f t="shared" si="2"/>
        <v>1145.0333333333333</v>
      </c>
      <c r="V29" s="321">
        <f t="shared" si="4"/>
        <v>0</v>
      </c>
      <c r="W29" s="321">
        <f t="shared" si="4"/>
        <v>0</v>
      </c>
      <c r="X29" s="321">
        <f t="shared" si="4"/>
        <v>0</v>
      </c>
      <c r="Y29" s="321">
        <f t="shared" si="4"/>
        <v>0</v>
      </c>
      <c r="Z29" s="321">
        <f t="shared" si="4"/>
        <v>0</v>
      </c>
      <c r="AA29" s="321">
        <f t="shared" si="4"/>
        <v>0</v>
      </c>
      <c r="AB29" s="321">
        <f t="shared" si="4"/>
        <v>0</v>
      </c>
      <c r="AC29" s="321">
        <f t="shared" si="4"/>
        <v>0</v>
      </c>
      <c r="AD29" s="321">
        <f t="shared" si="4"/>
        <v>0</v>
      </c>
      <c r="AE29" s="321">
        <f t="shared" si="4"/>
        <v>0</v>
      </c>
      <c r="AF29" s="321">
        <f t="shared" si="4"/>
        <v>5069.3999999999996</v>
      </c>
      <c r="AG29" s="70">
        <f t="shared" si="5"/>
        <v>5069.3999999999996</v>
      </c>
      <c r="AH29" s="321">
        <f t="shared" si="6"/>
        <v>5069.3999999999996</v>
      </c>
      <c r="AI29" s="331">
        <f t="shared" si="7"/>
        <v>0</v>
      </c>
    </row>
    <row r="30" spans="1:35" ht="10.5">
      <c r="A30" s="1" t="s">
        <v>535</v>
      </c>
      <c r="B30" s="42">
        <v>7008100</v>
      </c>
      <c r="C30" s="42">
        <v>140</v>
      </c>
      <c r="D30" s="11" t="s">
        <v>259</v>
      </c>
      <c r="E30" s="11" t="s">
        <v>384</v>
      </c>
      <c r="F30" s="181">
        <v>48096.98</v>
      </c>
      <c r="G30" s="184">
        <v>39678.15</v>
      </c>
      <c r="H30" s="229">
        <v>51280.160000000003</v>
      </c>
      <c r="I30" s="192">
        <v>55927.28</v>
      </c>
      <c r="J30" s="195">
        <v>35527.71</v>
      </c>
      <c r="K30" s="238">
        <v>25250.92</v>
      </c>
      <c r="L30" s="306">
        <v>26332.59</v>
      </c>
      <c r="M30" s="212">
        <v>25612.6</v>
      </c>
      <c r="N30" s="217">
        <v>38762.910000000003</v>
      </c>
      <c r="O30" s="220">
        <v>51447.98</v>
      </c>
      <c r="P30" s="304">
        <v>47128.19</v>
      </c>
      <c r="Q30" s="172">
        <v>41482.99</v>
      </c>
      <c r="R30" s="8">
        <f t="shared" si="0"/>
        <v>486528.46</v>
      </c>
      <c r="S30" s="1">
        <f t="shared" si="1"/>
        <v>12</v>
      </c>
      <c r="T30" s="31">
        <f t="shared" si="2"/>
        <v>40544.038333333338</v>
      </c>
      <c r="V30" s="321">
        <f t="shared" si="4"/>
        <v>0</v>
      </c>
      <c r="W30" s="321">
        <f t="shared" si="4"/>
        <v>0</v>
      </c>
      <c r="X30" s="321">
        <f t="shared" si="4"/>
        <v>0</v>
      </c>
      <c r="Y30" s="321">
        <f t="shared" si="4"/>
        <v>0</v>
      </c>
      <c r="Z30" s="321">
        <f t="shared" si="4"/>
        <v>0</v>
      </c>
      <c r="AA30" s="321">
        <f t="shared" si="4"/>
        <v>230767.26</v>
      </c>
      <c r="AB30" s="321">
        <f t="shared" si="4"/>
        <v>0</v>
      </c>
      <c r="AC30" s="321">
        <f t="shared" si="4"/>
        <v>0</v>
      </c>
      <c r="AD30" s="321">
        <f t="shared" si="4"/>
        <v>0</v>
      </c>
      <c r="AE30" s="321">
        <f t="shared" si="4"/>
        <v>0</v>
      </c>
      <c r="AF30" s="321">
        <f t="shared" si="4"/>
        <v>0</v>
      </c>
      <c r="AG30" s="70">
        <f t="shared" si="5"/>
        <v>230767.26</v>
      </c>
      <c r="AH30" s="321">
        <f t="shared" si="6"/>
        <v>230767.26</v>
      </c>
      <c r="AI30" s="331">
        <f t="shared" si="7"/>
        <v>0</v>
      </c>
    </row>
    <row r="31" spans="1:35" ht="10.5">
      <c r="A31" s="1" t="s">
        <v>658</v>
      </c>
      <c r="B31" s="4">
        <v>7007200</v>
      </c>
      <c r="C31" s="4">
        <v>102</v>
      </c>
      <c r="D31" s="1" t="s">
        <v>242</v>
      </c>
      <c r="E31" s="1" t="s">
        <v>242</v>
      </c>
      <c r="F31" s="181">
        <v>7222.07</v>
      </c>
      <c r="G31" s="184">
        <v>7902.15</v>
      </c>
      <c r="H31" s="229">
        <v>9021.67</v>
      </c>
      <c r="I31" s="192">
        <v>11690.13</v>
      </c>
      <c r="J31" s="195">
        <v>6724.45</v>
      </c>
      <c r="K31" s="238">
        <v>5853.56</v>
      </c>
      <c r="L31" s="306">
        <v>5935.65</v>
      </c>
      <c r="M31" s="212">
        <v>5853.74</v>
      </c>
      <c r="N31" s="217">
        <v>9333.26</v>
      </c>
      <c r="O31" s="220">
        <v>9405.18</v>
      </c>
      <c r="P31" s="304">
        <v>8328.66</v>
      </c>
      <c r="Q31" s="172">
        <v>7149.53</v>
      </c>
      <c r="R31" s="8">
        <f t="shared" si="0"/>
        <v>94420.049999999988</v>
      </c>
      <c r="S31" s="1">
        <f t="shared" si="1"/>
        <v>12</v>
      </c>
      <c r="T31" s="31">
        <f t="shared" si="2"/>
        <v>7868.3374999999987</v>
      </c>
      <c r="V31" s="321">
        <f t="shared" si="4"/>
        <v>0</v>
      </c>
      <c r="W31" s="321">
        <f t="shared" si="4"/>
        <v>0</v>
      </c>
      <c r="X31" s="321">
        <f t="shared" si="4"/>
        <v>0</v>
      </c>
      <c r="Y31" s="321">
        <f t="shared" si="4"/>
        <v>0</v>
      </c>
      <c r="Z31" s="321">
        <f t="shared" si="4"/>
        <v>0</v>
      </c>
      <c r="AA31" s="321">
        <f t="shared" si="4"/>
        <v>0</v>
      </c>
      <c r="AB31" s="321">
        <f t="shared" si="4"/>
        <v>0</v>
      </c>
      <c r="AC31" s="321">
        <f t="shared" si="4"/>
        <v>0</v>
      </c>
      <c r="AD31" s="321">
        <f t="shared" si="4"/>
        <v>46006.020000000004</v>
      </c>
      <c r="AE31" s="321">
        <f t="shared" si="4"/>
        <v>0</v>
      </c>
      <c r="AF31" s="321">
        <f t="shared" si="4"/>
        <v>0</v>
      </c>
      <c r="AG31" s="70">
        <f t="shared" si="5"/>
        <v>46006.020000000004</v>
      </c>
      <c r="AH31" s="321">
        <f t="shared" si="6"/>
        <v>46006.020000000004</v>
      </c>
      <c r="AI31" s="331">
        <f t="shared" si="7"/>
        <v>0</v>
      </c>
    </row>
    <row r="32" spans="1:35" ht="10.5">
      <c r="A32" s="1" t="s">
        <v>535</v>
      </c>
      <c r="B32" s="4">
        <v>15006827</v>
      </c>
      <c r="C32" s="4">
        <v>4124</v>
      </c>
      <c r="D32" s="1" t="s">
        <v>598</v>
      </c>
      <c r="E32" s="1" t="s">
        <v>344</v>
      </c>
      <c r="F32" s="181">
        <v>21489.3</v>
      </c>
      <c r="G32" s="184">
        <v>17816.830000000002</v>
      </c>
      <c r="H32" s="229">
        <v>16644</v>
      </c>
      <c r="I32" s="192">
        <v>31584.06</v>
      </c>
      <c r="J32" s="195">
        <v>12631.14</v>
      </c>
      <c r="K32" s="238">
        <v>8328.84</v>
      </c>
      <c r="L32" s="306">
        <v>7651.14</v>
      </c>
      <c r="M32" s="212">
        <v>10215.84</v>
      </c>
      <c r="N32" s="217">
        <v>14917.26</v>
      </c>
      <c r="O32" s="220">
        <v>19228.62</v>
      </c>
      <c r="P32" s="304">
        <v>20580</v>
      </c>
      <c r="Q32" s="172">
        <v>16663.080000000002</v>
      </c>
      <c r="R32" s="8">
        <f t="shared" si="0"/>
        <v>197750.11</v>
      </c>
      <c r="S32" s="1">
        <f t="shared" si="1"/>
        <v>12</v>
      </c>
      <c r="T32" s="31">
        <f t="shared" si="2"/>
        <v>16479.175833333331</v>
      </c>
      <c r="V32" s="321">
        <f t="shared" si="4"/>
        <v>0</v>
      </c>
      <c r="W32" s="321">
        <f t="shared" si="4"/>
        <v>0</v>
      </c>
      <c r="X32" s="321">
        <f t="shared" si="4"/>
        <v>0</v>
      </c>
      <c r="Y32" s="321">
        <f t="shared" si="4"/>
        <v>0</v>
      </c>
      <c r="Z32" s="321">
        <f t="shared" si="4"/>
        <v>0</v>
      </c>
      <c r="AA32" s="321">
        <f t="shared" si="4"/>
        <v>89255.94</v>
      </c>
      <c r="AB32" s="321">
        <f t="shared" si="4"/>
        <v>0</v>
      </c>
      <c r="AC32" s="321">
        <f t="shared" si="4"/>
        <v>0</v>
      </c>
      <c r="AD32" s="321">
        <f t="shared" si="4"/>
        <v>0</v>
      </c>
      <c r="AE32" s="321">
        <f t="shared" si="4"/>
        <v>0</v>
      </c>
      <c r="AF32" s="321">
        <f t="shared" si="4"/>
        <v>0</v>
      </c>
      <c r="AG32" s="70">
        <f t="shared" si="5"/>
        <v>89255.94</v>
      </c>
      <c r="AH32" s="321">
        <f t="shared" si="6"/>
        <v>89255.94</v>
      </c>
      <c r="AI32" s="331">
        <f t="shared" si="7"/>
        <v>0</v>
      </c>
    </row>
    <row r="33" spans="1:35" ht="10.5">
      <c r="A33" s="1" t="s">
        <v>537</v>
      </c>
      <c r="B33" s="4">
        <v>15036833</v>
      </c>
      <c r="C33" s="4"/>
      <c r="D33" s="1" t="s">
        <v>591</v>
      </c>
      <c r="E33" s="1" t="s">
        <v>591</v>
      </c>
      <c r="F33" s="181">
        <v>9696.18</v>
      </c>
      <c r="G33" s="184">
        <v>8535.07</v>
      </c>
      <c r="H33" s="229">
        <v>9691.0400000000009</v>
      </c>
      <c r="I33" s="192">
        <v>15288.6</v>
      </c>
      <c r="J33" s="195">
        <v>7611.31</v>
      </c>
      <c r="K33" s="238">
        <v>4715.41</v>
      </c>
      <c r="L33" s="306">
        <v>5903.42</v>
      </c>
      <c r="M33" s="212">
        <v>7473.52</v>
      </c>
      <c r="N33" s="217">
        <v>8737.61</v>
      </c>
      <c r="O33" s="220">
        <v>11809.61</v>
      </c>
      <c r="P33" s="304">
        <v>11218.01</v>
      </c>
      <c r="Q33" s="172">
        <v>9839.0300000000007</v>
      </c>
      <c r="R33" s="8">
        <f t="shared" si="0"/>
        <v>110518.81</v>
      </c>
      <c r="S33" s="1">
        <f t="shared" si="1"/>
        <v>12</v>
      </c>
      <c r="T33" s="31">
        <f t="shared" si="2"/>
        <v>9209.9008333333331</v>
      </c>
      <c r="V33" s="321">
        <f t="shared" si="4"/>
        <v>0</v>
      </c>
      <c r="W33" s="321">
        <f t="shared" si="4"/>
        <v>54981.200000000004</v>
      </c>
      <c r="X33" s="321">
        <f t="shared" si="4"/>
        <v>0</v>
      </c>
      <c r="Y33" s="321">
        <f t="shared" si="4"/>
        <v>0</v>
      </c>
      <c r="Z33" s="321">
        <f t="shared" si="4"/>
        <v>0</v>
      </c>
      <c r="AA33" s="321">
        <f t="shared" si="4"/>
        <v>0</v>
      </c>
      <c r="AB33" s="321">
        <f t="shared" si="4"/>
        <v>0</v>
      </c>
      <c r="AC33" s="321">
        <f t="shared" si="4"/>
        <v>0</v>
      </c>
      <c r="AD33" s="321">
        <f t="shared" si="4"/>
        <v>0</v>
      </c>
      <c r="AE33" s="321">
        <f t="shared" si="4"/>
        <v>0</v>
      </c>
      <c r="AF33" s="321">
        <f t="shared" si="4"/>
        <v>0</v>
      </c>
      <c r="AG33" s="70">
        <f t="shared" si="5"/>
        <v>54981.200000000004</v>
      </c>
      <c r="AH33" s="321">
        <f t="shared" si="6"/>
        <v>54981.200000000004</v>
      </c>
      <c r="AI33" s="331">
        <f t="shared" si="7"/>
        <v>0</v>
      </c>
    </row>
    <row r="34" spans="1:35" ht="10.5">
      <c r="A34" s="1" t="s">
        <v>659</v>
      </c>
      <c r="B34" s="4">
        <v>15007588</v>
      </c>
      <c r="C34" s="4"/>
      <c r="D34" s="1" t="s">
        <v>620</v>
      </c>
      <c r="E34" s="1" t="s">
        <v>620</v>
      </c>
      <c r="F34" s="181">
        <v>22584.959999999999</v>
      </c>
      <c r="G34" s="184">
        <v>18736.05</v>
      </c>
      <c r="H34" s="229">
        <v>20144.57</v>
      </c>
      <c r="I34" s="192">
        <v>28486.07</v>
      </c>
      <c r="J34" s="195">
        <v>16396.32</v>
      </c>
      <c r="K34" s="238">
        <v>12237.8</v>
      </c>
      <c r="L34" s="306">
        <v>11158.5</v>
      </c>
      <c r="M34" s="212">
        <v>13477.7</v>
      </c>
      <c r="N34" s="217">
        <v>18420.560000000001</v>
      </c>
      <c r="O34" s="220">
        <v>24373.33</v>
      </c>
      <c r="P34" s="304">
        <v>22595.41</v>
      </c>
      <c r="Q34" s="172">
        <v>20009.62</v>
      </c>
      <c r="R34" s="8">
        <f t="shared" ref="R34:R67" si="8">+SUM(F34:Q34)</f>
        <v>228620.88999999998</v>
      </c>
      <c r="S34" s="1">
        <f t="shared" ref="S34:S67" si="9">COUNT(F34:Q34)</f>
        <v>12</v>
      </c>
      <c r="T34" s="31">
        <f t="shared" ref="T34:T67" si="10">+IF(R34=0,0,R34/S34)</f>
        <v>19051.740833333333</v>
      </c>
      <c r="V34" s="321">
        <f t="shared" si="4"/>
        <v>0</v>
      </c>
      <c r="W34" s="321">
        <f t="shared" si="4"/>
        <v>0</v>
      </c>
      <c r="X34" s="321">
        <f t="shared" si="4"/>
        <v>0</v>
      </c>
      <c r="Y34" s="321">
        <f t="shared" si="4"/>
        <v>0</v>
      </c>
      <c r="Z34" s="321">
        <f t="shared" si="4"/>
        <v>0</v>
      </c>
      <c r="AA34" s="321">
        <f t="shared" si="4"/>
        <v>0</v>
      </c>
      <c r="AB34" s="321">
        <f t="shared" si="4"/>
        <v>0</v>
      </c>
      <c r="AC34" s="321">
        <f t="shared" si="4"/>
        <v>110035.12</v>
      </c>
      <c r="AD34" s="321">
        <f t="shared" si="4"/>
        <v>0</v>
      </c>
      <c r="AE34" s="321">
        <f t="shared" si="4"/>
        <v>0</v>
      </c>
      <c r="AF34" s="321">
        <f t="shared" si="4"/>
        <v>0</v>
      </c>
      <c r="AG34" s="70">
        <f t="shared" si="5"/>
        <v>110035.12</v>
      </c>
      <c r="AH34" s="321">
        <f t="shared" si="6"/>
        <v>110035.12</v>
      </c>
      <c r="AI34" s="331">
        <f t="shared" si="7"/>
        <v>0</v>
      </c>
    </row>
    <row r="35" spans="1:35" ht="10.5">
      <c r="A35" s="1" t="s">
        <v>531</v>
      </c>
      <c r="B35" s="4">
        <v>15004535</v>
      </c>
      <c r="C35" s="4">
        <v>124</v>
      </c>
      <c r="D35" s="1" t="s">
        <v>571</v>
      </c>
      <c r="E35" s="1" t="s">
        <v>112</v>
      </c>
      <c r="F35" s="181">
        <v>2542.2399999999998</v>
      </c>
      <c r="G35" s="184">
        <v>1932.14</v>
      </c>
      <c r="H35" s="229">
        <v>2473.14</v>
      </c>
      <c r="I35" s="192">
        <v>3074.53</v>
      </c>
      <c r="J35" s="238">
        <v>1644.13</v>
      </c>
      <c r="K35" s="238">
        <v>1622.56</v>
      </c>
      <c r="L35" s="306">
        <v>1640.16</v>
      </c>
      <c r="M35" s="212">
        <v>1296.3</v>
      </c>
      <c r="N35" s="217">
        <v>1632.14</v>
      </c>
      <c r="O35" s="220">
        <v>3027.61</v>
      </c>
      <c r="P35" s="304">
        <v>2016.12</v>
      </c>
      <c r="Q35" s="172">
        <v>1613.77</v>
      </c>
      <c r="R35" s="8">
        <f t="shared" si="8"/>
        <v>24514.84</v>
      </c>
      <c r="S35" s="1">
        <f t="shared" si="9"/>
        <v>12</v>
      </c>
      <c r="T35" s="31">
        <f t="shared" si="10"/>
        <v>2042.9033333333334</v>
      </c>
      <c r="V35" s="321">
        <f t="shared" ref="V35:AF58" si="11">+IF($A35=V$1,SUM($L35:$Q35),0)</f>
        <v>0</v>
      </c>
      <c r="W35" s="321">
        <f t="shared" si="11"/>
        <v>0</v>
      </c>
      <c r="X35" s="321">
        <f t="shared" si="11"/>
        <v>11226.100000000002</v>
      </c>
      <c r="Y35" s="321">
        <f t="shared" si="11"/>
        <v>0</v>
      </c>
      <c r="Z35" s="321">
        <f t="shared" si="11"/>
        <v>0</v>
      </c>
      <c r="AA35" s="321">
        <f t="shared" si="11"/>
        <v>0</v>
      </c>
      <c r="AB35" s="321">
        <f t="shared" si="11"/>
        <v>0</v>
      </c>
      <c r="AC35" s="321">
        <f t="shared" si="11"/>
        <v>0</v>
      </c>
      <c r="AD35" s="321">
        <f t="shared" si="11"/>
        <v>0</v>
      </c>
      <c r="AE35" s="321">
        <f t="shared" si="11"/>
        <v>0</v>
      </c>
      <c r="AF35" s="321">
        <f t="shared" si="11"/>
        <v>0</v>
      </c>
      <c r="AG35" s="70">
        <f t="shared" si="5"/>
        <v>11226.100000000002</v>
      </c>
      <c r="AH35" s="321">
        <f t="shared" si="6"/>
        <v>11226.100000000002</v>
      </c>
      <c r="AI35" s="331">
        <f t="shared" si="7"/>
        <v>0</v>
      </c>
    </row>
    <row r="36" spans="1:35" ht="10.5">
      <c r="B36" s="4">
        <v>15029987</v>
      </c>
      <c r="C36" s="4"/>
      <c r="D36" s="1" t="s">
        <v>577</v>
      </c>
      <c r="E36" s="1" t="s">
        <v>619</v>
      </c>
      <c r="F36" s="181">
        <v>126.21</v>
      </c>
      <c r="G36" s="184">
        <v>286.92</v>
      </c>
      <c r="H36" s="229">
        <v>186.43</v>
      </c>
      <c r="I36" s="192">
        <v>507</v>
      </c>
      <c r="J36" s="195">
        <v>89.7</v>
      </c>
      <c r="K36" s="238">
        <v>89.67</v>
      </c>
      <c r="L36" s="306">
        <v>16.2</v>
      </c>
      <c r="M36" s="212">
        <v>64.2</v>
      </c>
      <c r="N36" s="217">
        <v>85.5</v>
      </c>
      <c r="O36" s="220">
        <v>282</v>
      </c>
      <c r="P36" s="304">
        <v>471.18</v>
      </c>
      <c r="Q36" s="172">
        <v>103.5</v>
      </c>
      <c r="R36" s="8">
        <f t="shared" si="8"/>
        <v>2308.5100000000002</v>
      </c>
      <c r="S36" s="1">
        <f t="shared" si="9"/>
        <v>12</v>
      </c>
      <c r="T36" s="31">
        <f t="shared" si="10"/>
        <v>192.37583333333336</v>
      </c>
      <c r="V36" s="321">
        <f t="shared" si="11"/>
        <v>0</v>
      </c>
      <c r="W36" s="321">
        <f t="shared" si="11"/>
        <v>0</v>
      </c>
      <c r="X36" s="321">
        <f t="shared" si="11"/>
        <v>0</v>
      </c>
      <c r="Y36" s="321">
        <f t="shared" si="11"/>
        <v>0</v>
      </c>
      <c r="Z36" s="321">
        <f t="shared" si="11"/>
        <v>0</v>
      </c>
      <c r="AA36" s="321">
        <f t="shared" si="11"/>
        <v>0</v>
      </c>
      <c r="AB36" s="321">
        <f t="shared" si="11"/>
        <v>0</v>
      </c>
      <c r="AC36" s="321">
        <f t="shared" si="11"/>
        <v>0</v>
      </c>
      <c r="AD36" s="321">
        <f t="shared" si="11"/>
        <v>0</v>
      </c>
      <c r="AE36" s="321">
        <f t="shared" si="11"/>
        <v>0</v>
      </c>
      <c r="AF36" s="321">
        <f t="shared" si="11"/>
        <v>1022.5799999999999</v>
      </c>
      <c r="AG36" s="70">
        <f t="shared" si="5"/>
        <v>1022.5799999999999</v>
      </c>
      <c r="AH36" s="321">
        <f t="shared" si="6"/>
        <v>1022.5799999999999</v>
      </c>
      <c r="AI36" s="331">
        <f t="shared" si="7"/>
        <v>0</v>
      </c>
    </row>
    <row r="37" spans="1:35" ht="10.5">
      <c r="A37" s="1" t="s">
        <v>659</v>
      </c>
      <c r="B37" s="4">
        <v>7008400</v>
      </c>
      <c r="C37" s="4"/>
      <c r="D37" s="1" t="s">
        <v>565</v>
      </c>
      <c r="E37" s="1" t="s">
        <v>565</v>
      </c>
      <c r="F37" s="181">
        <v>5499.43</v>
      </c>
      <c r="G37" s="184">
        <v>4250.72</v>
      </c>
      <c r="H37" s="229">
        <v>3943.38</v>
      </c>
      <c r="I37" s="192">
        <v>6915.84</v>
      </c>
      <c r="J37" s="195">
        <v>3345.07</v>
      </c>
      <c r="K37" s="238">
        <v>2647.55</v>
      </c>
      <c r="L37" s="306">
        <v>2752.94</v>
      </c>
      <c r="M37" s="212">
        <v>2833.52</v>
      </c>
      <c r="N37" s="217">
        <v>5487.61</v>
      </c>
      <c r="O37" s="220">
        <v>6540.32</v>
      </c>
      <c r="P37" s="304">
        <v>5210.33</v>
      </c>
      <c r="Q37" s="172">
        <v>2723.62</v>
      </c>
      <c r="R37" s="8">
        <f t="shared" si="8"/>
        <v>52150.33</v>
      </c>
      <c r="S37" s="1">
        <f t="shared" si="9"/>
        <v>12</v>
      </c>
      <c r="T37" s="31">
        <f t="shared" si="10"/>
        <v>4345.8608333333332</v>
      </c>
      <c r="V37" s="321">
        <f t="shared" si="11"/>
        <v>0</v>
      </c>
      <c r="W37" s="321">
        <f t="shared" si="11"/>
        <v>0</v>
      </c>
      <c r="X37" s="321">
        <f t="shared" si="11"/>
        <v>0</v>
      </c>
      <c r="Y37" s="321">
        <f t="shared" si="11"/>
        <v>0</v>
      </c>
      <c r="Z37" s="321">
        <f t="shared" si="11"/>
        <v>0</v>
      </c>
      <c r="AA37" s="321">
        <f t="shared" si="11"/>
        <v>0</v>
      </c>
      <c r="AB37" s="321">
        <f t="shared" si="11"/>
        <v>0</v>
      </c>
      <c r="AC37" s="321">
        <f t="shared" si="11"/>
        <v>25548.34</v>
      </c>
      <c r="AD37" s="321">
        <f t="shared" si="11"/>
        <v>0</v>
      </c>
      <c r="AE37" s="321">
        <f t="shared" si="11"/>
        <v>0</v>
      </c>
      <c r="AF37" s="321">
        <f t="shared" si="11"/>
        <v>0</v>
      </c>
      <c r="AG37" s="70">
        <f t="shared" si="5"/>
        <v>25548.34</v>
      </c>
      <c r="AH37" s="321">
        <f t="shared" si="6"/>
        <v>25548.34</v>
      </c>
      <c r="AI37" s="331">
        <f t="shared" si="7"/>
        <v>0</v>
      </c>
    </row>
    <row r="38" spans="1:35" ht="10.5">
      <c r="B38" s="4">
        <v>15036295</v>
      </c>
      <c r="C38" s="4"/>
      <c r="D38" s="1" t="s">
        <v>572</v>
      </c>
      <c r="E38" s="1" t="s">
        <v>582</v>
      </c>
      <c r="F38" s="181">
        <v>317.39999999999998</v>
      </c>
      <c r="G38" s="184">
        <v>126.96</v>
      </c>
      <c r="H38" s="229">
        <v>126.96</v>
      </c>
      <c r="I38" s="192">
        <v>0</v>
      </c>
      <c r="J38" s="195">
        <v>0</v>
      </c>
      <c r="K38" s="238">
        <v>0</v>
      </c>
      <c r="L38" s="306">
        <v>0</v>
      </c>
      <c r="M38" s="212"/>
      <c r="N38" s="217"/>
      <c r="O38" s="220"/>
      <c r="P38" s="304"/>
      <c r="Q38" s="172"/>
      <c r="R38" s="8">
        <f t="shared" si="8"/>
        <v>571.31999999999994</v>
      </c>
      <c r="S38" s="1">
        <f t="shared" si="9"/>
        <v>7</v>
      </c>
      <c r="T38" s="31">
        <f t="shared" si="10"/>
        <v>81.617142857142852</v>
      </c>
      <c r="V38" s="321">
        <f t="shared" si="11"/>
        <v>0</v>
      </c>
      <c r="W38" s="321">
        <f t="shared" si="11"/>
        <v>0</v>
      </c>
      <c r="X38" s="321">
        <f t="shared" si="11"/>
        <v>0</v>
      </c>
      <c r="Y38" s="321">
        <f t="shared" si="11"/>
        <v>0</v>
      </c>
      <c r="Z38" s="321">
        <f t="shared" si="11"/>
        <v>0</v>
      </c>
      <c r="AA38" s="321">
        <f t="shared" si="11"/>
        <v>0</v>
      </c>
      <c r="AB38" s="321">
        <f t="shared" si="11"/>
        <v>0</v>
      </c>
      <c r="AC38" s="321">
        <f t="shared" si="11"/>
        <v>0</v>
      </c>
      <c r="AD38" s="321">
        <f t="shared" si="11"/>
        <v>0</v>
      </c>
      <c r="AE38" s="321">
        <f t="shared" si="11"/>
        <v>0</v>
      </c>
      <c r="AF38" s="321">
        <f t="shared" si="11"/>
        <v>0</v>
      </c>
      <c r="AG38" s="70">
        <f t="shared" si="5"/>
        <v>0</v>
      </c>
      <c r="AH38" s="321">
        <f t="shared" si="6"/>
        <v>0</v>
      </c>
      <c r="AI38" s="331">
        <f t="shared" si="7"/>
        <v>0</v>
      </c>
    </row>
    <row r="39" spans="1:35" ht="10.5">
      <c r="B39" s="4">
        <v>15034969</v>
      </c>
      <c r="C39" s="4"/>
      <c r="D39" s="1" t="s">
        <v>668</v>
      </c>
      <c r="E39" s="1" t="s">
        <v>667</v>
      </c>
      <c r="F39" s="180"/>
      <c r="G39" s="185"/>
      <c r="H39" s="233"/>
      <c r="I39" s="193"/>
      <c r="J39" s="196"/>
      <c r="K39" s="240"/>
      <c r="L39" s="307"/>
      <c r="M39" s="211"/>
      <c r="N39" s="220">
        <v>63</v>
      </c>
      <c r="O39" s="220">
        <v>11992</v>
      </c>
      <c r="P39" s="304">
        <v>12434.6</v>
      </c>
      <c r="Q39" s="172">
        <v>14299.86</v>
      </c>
      <c r="R39" s="8">
        <f>+SUM(F39:Q39)</f>
        <v>38789.46</v>
      </c>
      <c r="S39" s="1">
        <f>COUNT(F39:Q39)</f>
        <v>4</v>
      </c>
      <c r="T39" s="31">
        <f>+IF(R39=0,0,R39/S39)</f>
        <v>9697.3649999999998</v>
      </c>
      <c r="V39" s="321">
        <f t="shared" si="11"/>
        <v>0</v>
      </c>
      <c r="W39" s="321">
        <f t="shared" si="11"/>
        <v>0</v>
      </c>
      <c r="X39" s="321">
        <f t="shared" si="11"/>
        <v>0</v>
      </c>
      <c r="Y39" s="321">
        <f t="shared" si="11"/>
        <v>0</v>
      </c>
      <c r="Z39" s="321">
        <f t="shared" si="11"/>
        <v>0</v>
      </c>
      <c r="AA39" s="321">
        <f t="shared" si="11"/>
        <v>0</v>
      </c>
      <c r="AB39" s="321">
        <f t="shared" si="11"/>
        <v>0</v>
      </c>
      <c r="AC39" s="321">
        <f t="shared" si="11"/>
        <v>0</v>
      </c>
      <c r="AD39" s="321">
        <f t="shared" si="11"/>
        <v>0</v>
      </c>
      <c r="AE39" s="321">
        <f t="shared" si="11"/>
        <v>0</v>
      </c>
      <c r="AF39" s="321">
        <f t="shared" si="11"/>
        <v>38789.46</v>
      </c>
      <c r="AG39" s="70">
        <f t="shared" si="5"/>
        <v>38789.46</v>
      </c>
      <c r="AH39" s="321">
        <f t="shared" si="6"/>
        <v>38789.46</v>
      </c>
      <c r="AI39" s="331">
        <f t="shared" si="7"/>
        <v>0</v>
      </c>
    </row>
    <row r="40" spans="1:35" ht="10.5">
      <c r="A40" s="1" t="s">
        <v>531</v>
      </c>
      <c r="B40" s="4">
        <v>7003500</v>
      </c>
      <c r="C40" s="4">
        <v>136</v>
      </c>
      <c r="D40" s="1" t="s">
        <v>350</v>
      </c>
      <c r="E40" s="1" t="s">
        <v>350</v>
      </c>
      <c r="F40" s="181">
        <v>68162.58</v>
      </c>
      <c r="G40" s="184">
        <v>59821.440000000002</v>
      </c>
      <c r="H40" s="229">
        <v>76351.56</v>
      </c>
      <c r="I40" s="192">
        <v>106069.08</v>
      </c>
      <c r="J40" s="195">
        <v>53445.84</v>
      </c>
      <c r="K40" s="238">
        <v>34455.96</v>
      </c>
      <c r="L40" s="306">
        <v>49199.28</v>
      </c>
      <c r="M40" s="212">
        <v>49599.48</v>
      </c>
      <c r="N40" s="217">
        <v>59561.34</v>
      </c>
      <c r="O40" s="220">
        <v>81161.58</v>
      </c>
      <c r="P40" s="304">
        <v>72045.539999999994</v>
      </c>
      <c r="Q40" s="172">
        <v>66577.679999999993</v>
      </c>
      <c r="R40" s="8">
        <f>+SUM(F40:Q40)</f>
        <v>776451.35999999987</v>
      </c>
      <c r="S40" s="1">
        <f>COUNT(F40:Q40)</f>
        <v>12</v>
      </c>
      <c r="T40" s="31">
        <f>+IF(R40=0,0,R40/S40)</f>
        <v>64704.279999999992</v>
      </c>
      <c r="V40" s="321">
        <f t="shared" si="11"/>
        <v>0</v>
      </c>
      <c r="W40" s="321">
        <f t="shared" si="11"/>
        <v>0</v>
      </c>
      <c r="X40" s="321">
        <f t="shared" si="11"/>
        <v>378144.89999999997</v>
      </c>
      <c r="Y40" s="321">
        <f t="shared" si="11"/>
        <v>0</v>
      </c>
      <c r="Z40" s="321">
        <f t="shared" si="11"/>
        <v>0</v>
      </c>
      <c r="AA40" s="321">
        <f t="shared" si="11"/>
        <v>0</v>
      </c>
      <c r="AB40" s="321">
        <f t="shared" si="11"/>
        <v>0</v>
      </c>
      <c r="AC40" s="321">
        <f t="shared" si="11"/>
        <v>0</v>
      </c>
      <c r="AD40" s="321">
        <f t="shared" si="11"/>
        <v>0</v>
      </c>
      <c r="AE40" s="321">
        <f t="shared" si="11"/>
        <v>0</v>
      </c>
      <c r="AF40" s="321">
        <f t="shared" si="11"/>
        <v>0</v>
      </c>
      <c r="AG40" s="70">
        <f t="shared" si="5"/>
        <v>378144.89999999997</v>
      </c>
      <c r="AH40" s="321">
        <f t="shared" si="6"/>
        <v>378144.89999999997</v>
      </c>
      <c r="AI40" s="331">
        <f t="shared" si="7"/>
        <v>0</v>
      </c>
    </row>
    <row r="41" spans="1:35" ht="10.5">
      <c r="A41" s="1" t="s">
        <v>658</v>
      </c>
      <c r="B41" s="4">
        <v>15054166</v>
      </c>
      <c r="C41" s="4"/>
      <c r="D41" s="1" t="s">
        <v>671</v>
      </c>
      <c r="E41" s="1" t="s">
        <v>670</v>
      </c>
      <c r="F41" s="180"/>
      <c r="G41" s="185"/>
      <c r="H41" s="233"/>
      <c r="I41" s="193"/>
      <c r="J41" s="196"/>
      <c r="K41" s="240"/>
      <c r="L41" s="307"/>
      <c r="M41" s="211"/>
      <c r="N41" s="218"/>
      <c r="O41" s="222"/>
      <c r="P41" s="316"/>
      <c r="Q41" s="172">
        <v>24219.77</v>
      </c>
      <c r="R41" s="8">
        <f>+SUM(F41:Q41)</f>
        <v>24219.77</v>
      </c>
      <c r="S41" s="1">
        <f>COUNT(F41:Q41)</f>
        <v>1</v>
      </c>
      <c r="T41" s="31">
        <f>+IF(R41=0,0,R41/S41)</f>
        <v>24219.77</v>
      </c>
      <c r="V41" s="321">
        <f t="shared" si="11"/>
        <v>0</v>
      </c>
      <c r="W41" s="321">
        <f t="shared" si="11"/>
        <v>0</v>
      </c>
      <c r="X41" s="321">
        <f t="shared" si="11"/>
        <v>0</v>
      </c>
      <c r="Y41" s="321">
        <f t="shared" si="11"/>
        <v>0</v>
      </c>
      <c r="Z41" s="321">
        <f t="shared" si="11"/>
        <v>0</v>
      </c>
      <c r="AA41" s="321">
        <f t="shared" si="11"/>
        <v>0</v>
      </c>
      <c r="AB41" s="321">
        <f t="shared" si="11"/>
        <v>0</v>
      </c>
      <c r="AC41" s="321">
        <f t="shared" si="11"/>
        <v>0</v>
      </c>
      <c r="AD41" s="321">
        <f t="shared" si="11"/>
        <v>24219.77</v>
      </c>
      <c r="AE41" s="321">
        <f t="shared" si="11"/>
        <v>0</v>
      </c>
      <c r="AF41" s="321">
        <f t="shared" si="11"/>
        <v>0</v>
      </c>
      <c r="AG41" s="70">
        <f t="shared" si="5"/>
        <v>24219.77</v>
      </c>
      <c r="AH41" s="321">
        <f t="shared" si="6"/>
        <v>24219.77</v>
      </c>
      <c r="AI41" s="331">
        <f t="shared" si="7"/>
        <v>0</v>
      </c>
    </row>
    <row r="42" spans="1:35" ht="10.5">
      <c r="A42" s="1" t="s">
        <v>658</v>
      </c>
      <c r="B42" s="4">
        <v>7001700</v>
      </c>
      <c r="C42" s="4">
        <v>130</v>
      </c>
      <c r="D42" s="1" t="s">
        <v>248</v>
      </c>
      <c r="E42" s="1" t="s">
        <v>621</v>
      </c>
      <c r="F42" s="181">
        <v>33844.97</v>
      </c>
      <c r="G42" s="184">
        <v>30040.5</v>
      </c>
      <c r="H42" s="229">
        <v>33017.550000000003</v>
      </c>
      <c r="I42" s="192">
        <v>52544.88</v>
      </c>
      <c r="J42" s="195">
        <v>28946.83</v>
      </c>
      <c r="K42" s="238">
        <v>22046.400000000001</v>
      </c>
      <c r="L42" s="306">
        <v>21598.2</v>
      </c>
      <c r="M42" s="212">
        <v>22963.08</v>
      </c>
      <c r="N42" s="217">
        <v>28320.639999999999</v>
      </c>
      <c r="O42" s="220">
        <v>40449.9</v>
      </c>
      <c r="P42" s="304">
        <v>37162.379999999997</v>
      </c>
      <c r="Q42" s="172">
        <v>4996.92</v>
      </c>
      <c r="R42" s="8">
        <f>+SUM(F42:Q42)</f>
        <v>355932.25</v>
      </c>
      <c r="S42" s="1">
        <f>COUNT(F42:Q42)</f>
        <v>12</v>
      </c>
      <c r="T42" s="31">
        <f>+IF(R42=0,0,R42/S42)</f>
        <v>29661.020833333332</v>
      </c>
      <c r="V42" s="321">
        <f t="shared" si="11"/>
        <v>0</v>
      </c>
      <c r="W42" s="321">
        <f t="shared" si="11"/>
        <v>0</v>
      </c>
      <c r="X42" s="321">
        <f t="shared" si="11"/>
        <v>0</v>
      </c>
      <c r="Y42" s="321">
        <f t="shared" si="11"/>
        <v>0</v>
      </c>
      <c r="Z42" s="321">
        <f t="shared" si="11"/>
        <v>0</v>
      </c>
      <c r="AA42" s="321">
        <f t="shared" si="11"/>
        <v>0</v>
      </c>
      <c r="AB42" s="321">
        <f t="shared" si="11"/>
        <v>0</v>
      </c>
      <c r="AC42" s="321">
        <f t="shared" si="11"/>
        <v>0</v>
      </c>
      <c r="AD42" s="321">
        <f t="shared" si="11"/>
        <v>155491.12000000002</v>
      </c>
      <c r="AE42" s="321">
        <f t="shared" si="11"/>
        <v>0</v>
      </c>
      <c r="AF42" s="321">
        <f t="shared" si="11"/>
        <v>0</v>
      </c>
      <c r="AG42" s="70">
        <f t="shared" si="5"/>
        <v>155491.12000000002</v>
      </c>
      <c r="AH42" s="321">
        <f t="shared" si="6"/>
        <v>155491.12000000002</v>
      </c>
      <c r="AI42" s="331">
        <f t="shared" si="7"/>
        <v>0</v>
      </c>
    </row>
    <row r="43" spans="1:35" ht="10.5">
      <c r="B43" s="4">
        <v>15006999</v>
      </c>
      <c r="C43" s="4"/>
      <c r="D43" s="1" t="s">
        <v>527</v>
      </c>
      <c r="E43" s="1" t="s">
        <v>622</v>
      </c>
      <c r="F43" s="181">
        <v>14501.04</v>
      </c>
      <c r="G43" s="184">
        <v>13093.24</v>
      </c>
      <c r="H43" s="229">
        <v>13864.1</v>
      </c>
      <c r="I43" s="192">
        <v>19664.689999999999</v>
      </c>
      <c r="J43" s="195">
        <v>11136.04</v>
      </c>
      <c r="K43" s="238">
        <v>9833</v>
      </c>
      <c r="L43" s="306">
        <v>9358.7900000000009</v>
      </c>
      <c r="M43" s="212">
        <v>12389.29</v>
      </c>
      <c r="N43" s="217">
        <v>14109.78</v>
      </c>
      <c r="O43" s="220">
        <v>17051.55</v>
      </c>
      <c r="P43" s="318">
        <v>15385.55</v>
      </c>
      <c r="Q43" s="172">
        <v>12949.59</v>
      </c>
      <c r="R43" s="8">
        <f t="shared" si="8"/>
        <v>163336.65999999997</v>
      </c>
      <c r="S43" s="1">
        <f t="shared" si="9"/>
        <v>12</v>
      </c>
      <c r="T43" s="31">
        <f t="shared" si="10"/>
        <v>13611.388333333331</v>
      </c>
      <c r="V43" s="321">
        <f t="shared" si="11"/>
        <v>0</v>
      </c>
      <c r="W43" s="321">
        <f t="shared" si="11"/>
        <v>0</v>
      </c>
      <c r="X43" s="321">
        <f t="shared" si="11"/>
        <v>0</v>
      </c>
      <c r="Y43" s="321">
        <f t="shared" si="11"/>
        <v>0</v>
      </c>
      <c r="Z43" s="321">
        <f t="shared" si="11"/>
        <v>0</v>
      </c>
      <c r="AA43" s="321">
        <f t="shared" si="11"/>
        <v>0</v>
      </c>
      <c r="AB43" s="321">
        <f t="shared" si="11"/>
        <v>0</v>
      </c>
      <c r="AC43" s="321">
        <f t="shared" si="11"/>
        <v>0</v>
      </c>
      <c r="AD43" s="321">
        <f t="shared" si="11"/>
        <v>0</v>
      </c>
      <c r="AE43" s="321">
        <f t="shared" si="11"/>
        <v>0</v>
      </c>
      <c r="AF43" s="321">
        <f t="shared" si="11"/>
        <v>81244.55</v>
      </c>
      <c r="AG43" s="70">
        <f t="shared" si="5"/>
        <v>81244.55</v>
      </c>
      <c r="AH43" s="321">
        <f t="shared" si="6"/>
        <v>81244.55</v>
      </c>
      <c r="AI43" s="331">
        <f t="shared" si="7"/>
        <v>0</v>
      </c>
    </row>
    <row r="44" spans="1:35" ht="10.5">
      <c r="A44" s="1" t="s">
        <v>664</v>
      </c>
      <c r="B44" s="4">
        <v>7009500</v>
      </c>
      <c r="C44" s="4"/>
      <c r="D44" s="1" t="s">
        <v>515</v>
      </c>
      <c r="E44" s="1" t="s">
        <v>515</v>
      </c>
      <c r="F44" s="181">
        <v>18482.009999999998</v>
      </c>
      <c r="G44" s="184">
        <v>15229.12</v>
      </c>
      <c r="H44" s="229">
        <v>17498.599999999999</v>
      </c>
      <c r="I44" s="192">
        <v>25419.919999999998</v>
      </c>
      <c r="J44" s="238">
        <v>15411.31</v>
      </c>
      <c r="K44" s="238">
        <v>11821.22</v>
      </c>
      <c r="L44" s="306">
        <v>11028.41</v>
      </c>
      <c r="M44" s="212">
        <v>10440.280000000001</v>
      </c>
      <c r="N44" s="217">
        <v>12028.55</v>
      </c>
      <c r="O44" s="220">
        <v>18393.93</v>
      </c>
      <c r="P44" s="304">
        <v>14076.14</v>
      </c>
      <c r="Q44" s="172">
        <v>14657.82</v>
      </c>
      <c r="R44" s="8">
        <f t="shared" si="8"/>
        <v>184487.31</v>
      </c>
      <c r="S44" s="1">
        <f t="shared" si="9"/>
        <v>12</v>
      </c>
      <c r="T44" s="31">
        <f t="shared" si="10"/>
        <v>15373.942499999999</v>
      </c>
      <c r="V44" s="321">
        <f t="shared" si="11"/>
        <v>0</v>
      </c>
      <c r="W44" s="321">
        <f t="shared" si="11"/>
        <v>0</v>
      </c>
      <c r="X44" s="321">
        <f t="shared" si="11"/>
        <v>0</v>
      </c>
      <c r="Y44" s="321">
        <f t="shared" si="11"/>
        <v>0</v>
      </c>
      <c r="Z44" s="321">
        <f t="shared" si="11"/>
        <v>0</v>
      </c>
      <c r="AA44" s="321">
        <f t="shared" si="11"/>
        <v>0</v>
      </c>
      <c r="AB44" s="321">
        <f t="shared" si="11"/>
        <v>0</v>
      </c>
      <c r="AC44" s="321">
        <f t="shared" si="11"/>
        <v>0</v>
      </c>
      <c r="AD44" s="321">
        <f t="shared" si="11"/>
        <v>0</v>
      </c>
      <c r="AE44" s="321">
        <f t="shared" si="11"/>
        <v>80625.13</v>
      </c>
      <c r="AF44" s="321">
        <f t="shared" si="11"/>
        <v>0</v>
      </c>
      <c r="AG44" s="70">
        <f t="shared" si="5"/>
        <v>80625.13</v>
      </c>
      <c r="AH44" s="321">
        <f t="shared" si="6"/>
        <v>80625.13</v>
      </c>
      <c r="AI44" s="331">
        <f t="shared" si="7"/>
        <v>0</v>
      </c>
    </row>
    <row r="45" spans="1:35" ht="10.5">
      <c r="B45" s="42">
        <v>15037963</v>
      </c>
      <c r="C45" s="42"/>
      <c r="D45" s="11" t="s">
        <v>606</v>
      </c>
      <c r="E45" s="11" t="s">
        <v>605</v>
      </c>
      <c r="F45" s="181">
        <v>12572.43</v>
      </c>
      <c r="G45" s="184">
        <v>9087.7199999999993</v>
      </c>
      <c r="H45" s="229">
        <v>11890.25</v>
      </c>
      <c r="I45" s="192">
        <v>19726.59</v>
      </c>
      <c r="J45" s="195">
        <v>9144.66</v>
      </c>
      <c r="K45" s="238">
        <v>7469.63</v>
      </c>
      <c r="L45" s="306">
        <v>6641.1</v>
      </c>
      <c r="M45" s="212">
        <v>7700.48</v>
      </c>
      <c r="N45" s="217">
        <v>10857.27</v>
      </c>
      <c r="O45" s="220">
        <v>14619.69</v>
      </c>
      <c r="P45" s="304">
        <v>13281.05</v>
      </c>
      <c r="Q45" s="172">
        <v>11911.32</v>
      </c>
      <c r="R45" s="8">
        <f t="shared" si="8"/>
        <v>134902.19000000003</v>
      </c>
      <c r="S45" s="1">
        <f t="shared" si="9"/>
        <v>12</v>
      </c>
      <c r="T45" s="31">
        <f t="shared" si="10"/>
        <v>11241.849166666669</v>
      </c>
      <c r="V45" s="321">
        <f t="shared" si="11"/>
        <v>0</v>
      </c>
      <c r="W45" s="321">
        <f t="shared" si="11"/>
        <v>0</v>
      </c>
      <c r="X45" s="321">
        <f t="shared" si="11"/>
        <v>0</v>
      </c>
      <c r="Y45" s="321">
        <f t="shared" si="11"/>
        <v>0</v>
      </c>
      <c r="Z45" s="321">
        <f t="shared" si="11"/>
        <v>0</v>
      </c>
      <c r="AA45" s="321">
        <f t="shared" si="11"/>
        <v>0</v>
      </c>
      <c r="AB45" s="321">
        <f t="shared" si="11"/>
        <v>0</v>
      </c>
      <c r="AC45" s="321">
        <f t="shared" si="11"/>
        <v>0</v>
      </c>
      <c r="AD45" s="321">
        <f t="shared" si="11"/>
        <v>0</v>
      </c>
      <c r="AE45" s="321">
        <f t="shared" si="11"/>
        <v>0</v>
      </c>
      <c r="AF45" s="321">
        <f t="shared" si="11"/>
        <v>65010.909999999996</v>
      </c>
      <c r="AG45" s="70">
        <f t="shared" si="5"/>
        <v>65010.909999999996</v>
      </c>
      <c r="AH45" s="321">
        <f t="shared" si="6"/>
        <v>65010.909999999996</v>
      </c>
      <c r="AI45" s="331">
        <f t="shared" si="7"/>
        <v>0</v>
      </c>
    </row>
    <row r="46" spans="1:35" ht="10.5">
      <c r="A46" s="1" t="s">
        <v>658</v>
      </c>
      <c r="B46" s="42">
        <v>15037924</v>
      </c>
      <c r="C46" s="42"/>
      <c r="D46" s="11" t="s">
        <v>644</v>
      </c>
      <c r="E46" s="11" t="s">
        <v>601</v>
      </c>
      <c r="F46" s="181">
        <v>17451.740000000002</v>
      </c>
      <c r="G46" s="184">
        <v>13374.42</v>
      </c>
      <c r="H46" s="229">
        <v>16381.51</v>
      </c>
      <c r="I46" s="192">
        <v>27312.3</v>
      </c>
      <c r="J46" s="195">
        <v>12411.49</v>
      </c>
      <c r="K46" s="238">
        <v>10836.62</v>
      </c>
      <c r="L46" s="306">
        <v>13665.36</v>
      </c>
      <c r="M46" s="212">
        <v>13197.21</v>
      </c>
      <c r="N46" s="217">
        <v>15810.83</v>
      </c>
      <c r="O46" s="220">
        <v>19530.509999999998</v>
      </c>
      <c r="P46" s="304">
        <v>19016.34</v>
      </c>
      <c r="Q46" s="172">
        <v>17173.21</v>
      </c>
      <c r="R46" s="8">
        <f t="shared" si="8"/>
        <v>196161.53999999998</v>
      </c>
      <c r="S46" s="1">
        <f t="shared" si="9"/>
        <v>12</v>
      </c>
      <c r="T46" s="31">
        <f t="shared" si="10"/>
        <v>16346.794999999998</v>
      </c>
      <c r="V46" s="321">
        <f t="shared" si="11"/>
        <v>0</v>
      </c>
      <c r="W46" s="321">
        <f t="shared" si="11"/>
        <v>0</v>
      </c>
      <c r="X46" s="321">
        <f t="shared" si="11"/>
        <v>0</v>
      </c>
      <c r="Y46" s="321">
        <f t="shared" si="11"/>
        <v>0</v>
      </c>
      <c r="Z46" s="321">
        <f t="shared" si="11"/>
        <v>0</v>
      </c>
      <c r="AA46" s="321">
        <f t="shared" si="11"/>
        <v>0</v>
      </c>
      <c r="AB46" s="321">
        <f t="shared" si="11"/>
        <v>0</v>
      </c>
      <c r="AC46" s="321">
        <f t="shared" si="11"/>
        <v>0</v>
      </c>
      <c r="AD46" s="321">
        <f t="shared" si="11"/>
        <v>98393.459999999992</v>
      </c>
      <c r="AE46" s="321">
        <f t="shared" si="11"/>
        <v>0</v>
      </c>
      <c r="AF46" s="321">
        <f t="shared" si="11"/>
        <v>0</v>
      </c>
      <c r="AG46" s="70">
        <f t="shared" si="5"/>
        <v>98393.459999999992</v>
      </c>
      <c r="AH46" s="321">
        <f t="shared" si="6"/>
        <v>98393.459999999992</v>
      </c>
      <c r="AI46" s="331">
        <f t="shared" si="7"/>
        <v>0</v>
      </c>
    </row>
    <row r="47" spans="1:35" ht="10.5">
      <c r="A47" s="1" t="s">
        <v>530</v>
      </c>
      <c r="B47" s="4">
        <v>7009900</v>
      </c>
      <c r="C47" s="4"/>
      <c r="D47" s="1" t="s">
        <v>93</v>
      </c>
      <c r="E47" s="1" t="s">
        <v>93</v>
      </c>
      <c r="F47" s="180"/>
      <c r="G47" s="184">
        <v>13335.54</v>
      </c>
      <c r="H47" s="233"/>
      <c r="I47" s="193"/>
      <c r="J47" s="196"/>
      <c r="K47" s="240"/>
      <c r="L47" s="307"/>
      <c r="M47" s="211"/>
      <c r="N47" s="218"/>
      <c r="O47" s="222"/>
      <c r="P47" s="316"/>
      <c r="Q47" s="173"/>
      <c r="R47" s="8">
        <f t="shared" si="8"/>
        <v>13335.54</v>
      </c>
      <c r="S47" s="1">
        <f t="shared" si="9"/>
        <v>1</v>
      </c>
      <c r="T47" s="31">
        <f t="shared" si="10"/>
        <v>13335.54</v>
      </c>
      <c r="V47" s="321">
        <f t="shared" si="11"/>
        <v>0</v>
      </c>
      <c r="W47" s="321">
        <f t="shared" si="11"/>
        <v>0</v>
      </c>
      <c r="X47" s="321">
        <f t="shared" si="11"/>
        <v>0</v>
      </c>
      <c r="Y47" s="321">
        <f t="shared" si="11"/>
        <v>0</v>
      </c>
      <c r="Z47" s="321">
        <f t="shared" si="11"/>
        <v>0</v>
      </c>
      <c r="AA47" s="321">
        <f t="shared" si="11"/>
        <v>0</v>
      </c>
      <c r="AB47" s="321">
        <f t="shared" si="11"/>
        <v>0</v>
      </c>
      <c r="AC47" s="321">
        <f t="shared" si="11"/>
        <v>0</v>
      </c>
      <c r="AD47" s="321">
        <f t="shared" si="11"/>
        <v>0</v>
      </c>
      <c r="AE47" s="321">
        <f t="shared" si="11"/>
        <v>0</v>
      </c>
      <c r="AF47" s="321">
        <f t="shared" si="11"/>
        <v>0</v>
      </c>
      <c r="AG47" s="70">
        <f t="shared" si="5"/>
        <v>0</v>
      </c>
      <c r="AH47" s="321">
        <f t="shared" si="6"/>
        <v>0</v>
      </c>
      <c r="AI47" s="331">
        <f t="shared" si="7"/>
        <v>0</v>
      </c>
    </row>
    <row r="48" spans="1:35" ht="10.5">
      <c r="A48" s="1" t="s">
        <v>658</v>
      </c>
      <c r="B48" s="4">
        <v>7009200</v>
      </c>
      <c r="C48" s="4">
        <v>569</v>
      </c>
      <c r="D48" s="1" t="s">
        <v>516</v>
      </c>
      <c r="E48" s="1" t="s">
        <v>516</v>
      </c>
      <c r="F48" s="181">
        <v>15135.64</v>
      </c>
      <c r="G48" s="184">
        <v>13318.95</v>
      </c>
      <c r="H48" s="229">
        <v>14677.76</v>
      </c>
      <c r="I48" s="291">
        <v>23557.63</v>
      </c>
      <c r="J48" s="195">
        <v>13705.87</v>
      </c>
      <c r="K48" s="238">
        <v>9175.67</v>
      </c>
      <c r="L48" s="306">
        <v>7294.95</v>
      </c>
      <c r="M48" s="212">
        <v>9363.85</v>
      </c>
      <c r="N48" s="217">
        <v>11084.08</v>
      </c>
      <c r="O48" s="220">
        <v>12625.09</v>
      </c>
      <c r="P48" s="304">
        <v>12035.15</v>
      </c>
      <c r="Q48" s="172">
        <v>12724.12</v>
      </c>
      <c r="R48" s="8">
        <f t="shared" si="8"/>
        <v>154698.75999999998</v>
      </c>
      <c r="S48" s="1">
        <f t="shared" si="9"/>
        <v>12</v>
      </c>
      <c r="T48" s="31">
        <f t="shared" si="10"/>
        <v>12891.563333333332</v>
      </c>
      <c r="V48" s="321">
        <f t="shared" si="11"/>
        <v>0</v>
      </c>
      <c r="W48" s="321">
        <f t="shared" si="11"/>
        <v>0</v>
      </c>
      <c r="X48" s="321">
        <f t="shared" si="11"/>
        <v>0</v>
      </c>
      <c r="Y48" s="321">
        <f t="shared" si="11"/>
        <v>0</v>
      </c>
      <c r="Z48" s="321">
        <f t="shared" si="11"/>
        <v>0</v>
      </c>
      <c r="AA48" s="321">
        <f t="shared" si="11"/>
        <v>0</v>
      </c>
      <c r="AB48" s="321">
        <f t="shared" si="11"/>
        <v>0</v>
      </c>
      <c r="AC48" s="321">
        <f t="shared" si="11"/>
        <v>0</v>
      </c>
      <c r="AD48" s="321">
        <f t="shared" si="11"/>
        <v>65127.240000000005</v>
      </c>
      <c r="AE48" s="321">
        <f t="shared" si="11"/>
        <v>0</v>
      </c>
      <c r="AF48" s="321">
        <f t="shared" si="11"/>
        <v>0</v>
      </c>
      <c r="AG48" s="70">
        <f t="shared" si="5"/>
        <v>65127.240000000005</v>
      </c>
      <c r="AH48" s="321">
        <f t="shared" si="6"/>
        <v>65127.240000000005</v>
      </c>
      <c r="AI48" s="331">
        <f t="shared" si="7"/>
        <v>0</v>
      </c>
    </row>
    <row r="49" spans="1:35" ht="10.5">
      <c r="A49" s="1" t="s">
        <v>530</v>
      </c>
      <c r="B49" s="4">
        <v>15037322</v>
      </c>
      <c r="C49" s="4"/>
      <c r="D49" s="1" t="s">
        <v>646</v>
      </c>
      <c r="E49" s="1" t="s">
        <v>623</v>
      </c>
      <c r="F49" s="181">
        <v>17068.560000000001</v>
      </c>
      <c r="G49" s="184"/>
      <c r="H49" s="229">
        <v>14194.34</v>
      </c>
      <c r="I49" s="192">
        <v>23626.2</v>
      </c>
      <c r="J49" s="195">
        <v>12787.45</v>
      </c>
      <c r="K49" s="238">
        <v>9465.2900000000009</v>
      </c>
      <c r="L49" s="306">
        <v>9305.3700000000008</v>
      </c>
      <c r="M49" s="212">
        <v>12255.09</v>
      </c>
      <c r="N49" s="217">
        <v>14951.29</v>
      </c>
      <c r="O49" s="220">
        <v>17413.64</v>
      </c>
      <c r="P49" s="304">
        <v>15560.7</v>
      </c>
      <c r="Q49" s="172">
        <v>14994.7</v>
      </c>
      <c r="R49" s="8">
        <f t="shared" si="8"/>
        <v>161622.63</v>
      </c>
      <c r="S49" s="1">
        <f t="shared" si="9"/>
        <v>11</v>
      </c>
      <c r="T49" s="31">
        <f t="shared" si="10"/>
        <v>14692.966363636364</v>
      </c>
      <c r="V49" s="321">
        <f t="shared" si="11"/>
        <v>0</v>
      </c>
      <c r="W49" s="321">
        <f t="shared" si="11"/>
        <v>0</v>
      </c>
      <c r="X49" s="321">
        <f t="shared" si="11"/>
        <v>0</v>
      </c>
      <c r="Y49" s="321">
        <f t="shared" si="11"/>
        <v>84480.79</v>
      </c>
      <c r="Z49" s="321">
        <f t="shared" si="11"/>
        <v>0</v>
      </c>
      <c r="AA49" s="321">
        <f t="shared" si="11"/>
        <v>0</v>
      </c>
      <c r="AB49" s="321">
        <f t="shared" si="11"/>
        <v>0</v>
      </c>
      <c r="AC49" s="321">
        <f t="shared" si="11"/>
        <v>0</v>
      </c>
      <c r="AD49" s="321">
        <f t="shared" si="11"/>
        <v>0</v>
      </c>
      <c r="AE49" s="321">
        <f t="shared" si="11"/>
        <v>0</v>
      </c>
      <c r="AF49" s="321">
        <f t="shared" si="11"/>
        <v>0</v>
      </c>
      <c r="AG49" s="70">
        <f t="shared" si="5"/>
        <v>84480.79</v>
      </c>
      <c r="AH49" s="321">
        <f t="shared" si="6"/>
        <v>84480.79</v>
      </c>
      <c r="AI49" s="331">
        <f t="shared" si="7"/>
        <v>0</v>
      </c>
    </row>
    <row r="50" spans="1:35" ht="10.5">
      <c r="A50" s="1" t="s">
        <v>659</v>
      </c>
      <c r="B50" s="4">
        <v>15030829</v>
      </c>
      <c r="C50" s="4"/>
      <c r="D50" s="1" t="s">
        <v>529</v>
      </c>
      <c r="E50" s="1" t="s">
        <v>529</v>
      </c>
      <c r="F50" s="181">
        <v>9158.1</v>
      </c>
      <c r="G50" s="184">
        <v>7965.56</v>
      </c>
      <c r="H50" s="238">
        <v>7496.93</v>
      </c>
      <c r="I50" s="192">
        <v>11824.15</v>
      </c>
      <c r="J50" s="195">
        <v>5459.19</v>
      </c>
      <c r="K50" s="238">
        <v>4495.9399999999996</v>
      </c>
      <c r="L50" s="306">
        <v>0</v>
      </c>
      <c r="M50" s="212">
        <v>5989.6</v>
      </c>
      <c r="N50" s="217">
        <v>6356.77</v>
      </c>
      <c r="O50" s="220">
        <v>8361.2800000000007</v>
      </c>
      <c r="P50" s="304">
        <v>6941.76</v>
      </c>
      <c r="Q50" s="172">
        <v>6898.95</v>
      </c>
      <c r="R50" s="8">
        <f t="shared" si="8"/>
        <v>80948.23</v>
      </c>
      <c r="S50" s="1">
        <f t="shared" si="9"/>
        <v>12</v>
      </c>
      <c r="T50" s="31">
        <f t="shared" si="10"/>
        <v>6745.685833333333</v>
      </c>
      <c r="V50" s="321">
        <f t="shared" si="11"/>
        <v>0</v>
      </c>
      <c r="W50" s="321">
        <f t="shared" si="11"/>
        <v>0</v>
      </c>
      <c r="X50" s="321">
        <f t="shared" si="11"/>
        <v>0</v>
      </c>
      <c r="Y50" s="321">
        <f t="shared" si="11"/>
        <v>0</v>
      </c>
      <c r="Z50" s="321">
        <f t="shared" si="11"/>
        <v>0</v>
      </c>
      <c r="AA50" s="321">
        <f t="shared" si="11"/>
        <v>0</v>
      </c>
      <c r="AB50" s="321">
        <f t="shared" si="11"/>
        <v>0</v>
      </c>
      <c r="AC50" s="321">
        <f t="shared" si="11"/>
        <v>34548.36</v>
      </c>
      <c r="AD50" s="321">
        <f t="shared" si="11"/>
        <v>0</v>
      </c>
      <c r="AE50" s="321">
        <f t="shared" si="11"/>
        <v>0</v>
      </c>
      <c r="AF50" s="321">
        <f t="shared" si="11"/>
        <v>0</v>
      </c>
      <c r="AG50" s="70">
        <f t="shared" si="5"/>
        <v>34548.36</v>
      </c>
      <c r="AH50" s="321">
        <f t="shared" si="6"/>
        <v>34548.36</v>
      </c>
      <c r="AI50" s="331">
        <f t="shared" si="7"/>
        <v>0</v>
      </c>
    </row>
    <row r="51" spans="1:35" ht="10.5">
      <c r="A51" s="1" t="s">
        <v>531</v>
      </c>
      <c r="B51" s="4">
        <v>15035829</v>
      </c>
      <c r="C51" s="4"/>
      <c r="D51" s="1" t="s">
        <v>567</v>
      </c>
      <c r="E51" s="1" t="s">
        <v>253</v>
      </c>
      <c r="F51" s="181">
        <v>57839.12</v>
      </c>
      <c r="G51" s="184">
        <v>45738.65</v>
      </c>
      <c r="H51" s="229">
        <v>68929.100000000006</v>
      </c>
      <c r="I51" s="192">
        <v>108971.64</v>
      </c>
      <c r="J51" s="195">
        <v>48232.37</v>
      </c>
      <c r="K51" s="238">
        <v>31862.560000000001</v>
      </c>
      <c r="L51" s="306">
        <v>32588.35</v>
      </c>
      <c r="M51" s="212">
        <v>40704.53</v>
      </c>
      <c r="N51" s="217">
        <v>56979.360000000001</v>
      </c>
      <c r="O51" s="220">
        <v>79215.460000000006</v>
      </c>
      <c r="P51" s="304">
        <v>65751.98</v>
      </c>
      <c r="Q51" s="172">
        <v>55583.29</v>
      </c>
      <c r="R51" s="8">
        <f t="shared" si="8"/>
        <v>692396.40999999992</v>
      </c>
      <c r="S51" s="1">
        <f t="shared" si="9"/>
        <v>12</v>
      </c>
      <c r="T51" s="31">
        <f t="shared" si="10"/>
        <v>57699.700833333329</v>
      </c>
      <c r="V51" s="321">
        <f t="shared" si="11"/>
        <v>0</v>
      </c>
      <c r="W51" s="321">
        <f t="shared" si="11"/>
        <v>0</v>
      </c>
      <c r="X51" s="321">
        <f t="shared" si="11"/>
        <v>330822.96999999997</v>
      </c>
      <c r="Y51" s="321">
        <f t="shared" si="11"/>
        <v>0</v>
      </c>
      <c r="Z51" s="321">
        <f t="shared" si="11"/>
        <v>0</v>
      </c>
      <c r="AA51" s="321">
        <f t="shared" si="11"/>
        <v>0</v>
      </c>
      <c r="AB51" s="321">
        <f t="shared" si="11"/>
        <v>0</v>
      </c>
      <c r="AC51" s="321">
        <f t="shared" si="11"/>
        <v>0</v>
      </c>
      <c r="AD51" s="321">
        <f t="shared" si="11"/>
        <v>0</v>
      </c>
      <c r="AE51" s="321">
        <f t="shared" si="11"/>
        <v>0</v>
      </c>
      <c r="AF51" s="321">
        <f t="shared" si="11"/>
        <v>0</v>
      </c>
      <c r="AG51" s="70">
        <f t="shared" si="5"/>
        <v>330822.96999999997</v>
      </c>
      <c r="AH51" s="321">
        <f t="shared" si="6"/>
        <v>330822.96999999997</v>
      </c>
      <c r="AI51" s="331">
        <f t="shared" si="7"/>
        <v>0</v>
      </c>
    </row>
    <row r="52" spans="1:35" ht="10.5">
      <c r="A52" s="1" t="s">
        <v>664</v>
      </c>
      <c r="B52" s="4">
        <v>15020999</v>
      </c>
      <c r="C52" s="4">
        <v>132</v>
      </c>
      <c r="D52" s="1" t="s">
        <v>528</v>
      </c>
      <c r="E52" s="1" t="s">
        <v>498</v>
      </c>
      <c r="F52" s="181">
        <v>2376.2399999999998</v>
      </c>
      <c r="G52" s="184">
        <v>1585.1</v>
      </c>
      <c r="H52" s="229">
        <v>2232.84</v>
      </c>
      <c r="I52" s="192">
        <v>2970.33</v>
      </c>
      <c r="J52" s="238">
        <v>1872.09</v>
      </c>
      <c r="K52" s="238">
        <v>1326.4</v>
      </c>
      <c r="L52" s="306">
        <v>1658.94</v>
      </c>
      <c r="M52" s="212">
        <v>1817.9</v>
      </c>
      <c r="N52" s="217">
        <v>1992.2</v>
      </c>
      <c r="O52" s="220">
        <v>2352.96</v>
      </c>
      <c r="P52" s="304">
        <v>2064.12</v>
      </c>
      <c r="Q52" s="172">
        <v>1152.44</v>
      </c>
      <c r="R52" s="8">
        <f t="shared" si="8"/>
        <v>23401.559999999998</v>
      </c>
      <c r="S52" s="1">
        <f t="shared" si="9"/>
        <v>12</v>
      </c>
      <c r="T52" s="31">
        <f t="shared" si="10"/>
        <v>1950.1299999999999</v>
      </c>
      <c r="V52" s="321">
        <f t="shared" si="11"/>
        <v>0</v>
      </c>
      <c r="W52" s="321">
        <f t="shared" si="11"/>
        <v>0</v>
      </c>
      <c r="X52" s="321">
        <f t="shared" si="11"/>
        <v>0</v>
      </c>
      <c r="Y52" s="321">
        <f t="shared" si="11"/>
        <v>0</v>
      </c>
      <c r="Z52" s="321">
        <f t="shared" si="11"/>
        <v>0</v>
      </c>
      <c r="AA52" s="321">
        <f t="shared" si="11"/>
        <v>0</v>
      </c>
      <c r="AB52" s="321">
        <f t="shared" si="11"/>
        <v>0</v>
      </c>
      <c r="AC52" s="321">
        <f t="shared" si="11"/>
        <v>0</v>
      </c>
      <c r="AD52" s="321">
        <f t="shared" si="11"/>
        <v>0</v>
      </c>
      <c r="AE52" s="321">
        <f t="shared" si="11"/>
        <v>11038.56</v>
      </c>
      <c r="AF52" s="321">
        <f t="shared" si="11"/>
        <v>0</v>
      </c>
      <c r="AG52" s="70">
        <f t="shared" si="5"/>
        <v>11038.56</v>
      </c>
      <c r="AH52" s="321">
        <f t="shared" si="6"/>
        <v>11038.56</v>
      </c>
      <c r="AI52" s="331">
        <f t="shared" si="7"/>
        <v>0</v>
      </c>
    </row>
    <row r="53" spans="1:35" ht="10.5">
      <c r="B53" s="4">
        <v>15037912</v>
      </c>
      <c r="C53" s="4"/>
      <c r="D53" s="1" t="s">
        <v>583</v>
      </c>
      <c r="E53" s="1" t="s">
        <v>584</v>
      </c>
      <c r="F53" s="32"/>
      <c r="G53" s="184">
        <v>165.2</v>
      </c>
      <c r="H53" s="229">
        <v>115.57</v>
      </c>
      <c r="I53" s="192">
        <v>400.1</v>
      </c>
      <c r="J53" s="195">
        <v>112.69</v>
      </c>
      <c r="K53" s="238">
        <v>154.93</v>
      </c>
      <c r="L53" s="306">
        <v>72.959999999999994</v>
      </c>
      <c r="M53" s="212">
        <v>180.09</v>
      </c>
      <c r="N53" s="217">
        <v>143.08000000000001</v>
      </c>
      <c r="O53" s="220">
        <v>173.94</v>
      </c>
      <c r="P53" s="304">
        <v>241.41</v>
      </c>
      <c r="Q53" s="172">
        <v>115.64</v>
      </c>
      <c r="R53" s="8">
        <f t="shared" si="8"/>
        <v>1875.6100000000001</v>
      </c>
      <c r="S53" s="1">
        <f t="shared" si="9"/>
        <v>11</v>
      </c>
      <c r="T53" s="31">
        <f t="shared" si="10"/>
        <v>170.51000000000002</v>
      </c>
      <c r="V53" s="321">
        <f t="shared" si="11"/>
        <v>0</v>
      </c>
      <c r="W53" s="321">
        <f t="shared" si="11"/>
        <v>0</v>
      </c>
      <c r="X53" s="321">
        <f t="shared" si="11"/>
        <v>0</v>
      </c>
      <c r="Y53" s="321">
        <f t="shared" si="11"/>
        <v>0</v>
      </c>
      <c r="Z53" s="321">
        <f t="shared" si="11"/>
        <v>0</v>
      </c>
      <c r="AA53" s="321">
        <f t="shared" si="11"/>
        <v>0</v>
      </c>
      <c r="AB53" s="321">
        <f t="shared" si="11"/>
        <v>0</v>
      </c>
      <c r="AC53" s="321">
        <f t="shared" si="11"/>
        <v>0</v>
      </c>
      <c r="AD53" s="321">
        <f t="shared" si="11"/>
        <v>0</v>
      </c>
      <c r="AE53" s="321">
        <f t="shared" si="11"/>
        <v>0</v>
      </c>
      <c r="AF53" s="321">
        <f t="shared" si="11"/>
        <v>927.11999999999989</v>
      </c>
      <c r="AG53" s="70">
        <f t="shared" si="5"/>
        <v>927.11999999999989</v>
      </c>
      <c r="AH53" s="321">
        <f t="shared" si="6"/>
        <v>927.11999999999989</v>
      </c>
      <c r="AI53" s="331">
        <f t="shared" si="7"/>
        <v>0</v>
      </c>
    </row>
    <row r="54" spans="1:35" ht="10.5">
      <c r="A54" s="1" t="s">
        <v>535</v>
      </c>
      <c r="B54" s="4">
        <v>7002501</v>
      </c>
      <c r="C54" s="4"/>
      <c r="D54" s="1" t="s">
        <v>594</v>
      </c>
      <c r="E54" s="1" t="s">
        <v>508</v>
      </c>
      <c r="F54" s="181">
        <v>3784</v>
      </c>
      <c r="G54" s="184">
        <v>3370</v>
      </c>
      <c r="H54" s="229">
        <v>3237</v>
      </c>
      <c r="I54" s="192">
        <v>4341</v>
      </c>
      <c r="J54" s="195">
        <v>2255</v>
      </c>
      <c r="K54" s="238">
        <v>1883</v>
      </c>
      <c r="L54" s="306">
        <v>1812</v>
      </c>
      <c r="M54" s="212">
        <v>1948</v>
      </c>
      <c r="N54" s="217">
        <v>2486</v>
      </c>
      <c r="O54" s="220">
        <v>3189</v>
      </c>
      <c r="P54" s="304">
        <v>3398</v>
      </c>
      <c r="Q54" s="172">
        <v>3370</v>
      </c>
      <c r="R54" s="8">
        <f t="shared" si="8"/>
        <v>35073</v>
      </c>
      <c r="S54" s="1">
        <f t="shared" si="9"/>
        <v>12</v>
      </c>
      <c r="T54" s="31">
        <f t="shared" si="10"/>
        <v>2922.75</v>
      </c>
      <c r="V54" s="321">
        <f t="shared" si="11"/>
        <v>0</v>
      </c>
      <c r="W54" s="321">
        <f t="shared" si="11"/>
        <v>0</v>
      </c>
      <c r="X54" s="321">
        <f t="shared" si="11"/>
        <v>0</v>
      </c>
      <c r="Y54" s="321">
        <f t="shared" si="11"/>
        <v>0</v>
      </c>
      <c r="Z54" s="321">
        <f t="shared" si="11"/>
        <v>0</v>
      </c>
      <c r="AA54" s="321">
        <f t="shared" si="11"/>
        <v>16203</v>
      </c>
      <c r="AB54" s="321">
        <f t="shared" si="11"/>
        <v>0</v>
      </c>
      <c r="AC54" s="321">
        <f t="shared" si="11"/>
        <v>0</v>
      </c>
      <c r="AD54" s="321">
        <f t="shared" si="11"/>
        <v>0</v>
      </c>
      <c r="AE54" s="321">
        <f t="shared" si="11"/>
        <v>0</v>
      </c>
      <c r="AF54" s="321">
        <f t="shared" si="11"/>
        <v>0</v>
      </c>
      <c r="AG54" s="70">
        <f t="shared" si="5"/>
        <v>16203</v>
      </c>
      <c r="AH54" s="321">
        <f t="shared" si="6"/>
        <v>16203</v>
      </c>
      <c r="AI54" s="331">
        <f t="shared" si="7"/>
        <v>0</v>
      </c>
    </row>
    <row r="55" spans="1:35" ht="10.5">
      <c r="A55" s="1" t="s">
        <v>533</v>
      </c>
      <c r="B55" s="4">
        <v>7008200</v>
      </c>
      <c r="C55" s="4"/>
      <c r="D55" s="1" t="s">
        <v>347</v>
      </c>
      <c r="E55" s="1" t="s">
        <v>347</v>
      </c>
      <c r="F55" s="181">
        <v>10189.540000000001</v>
      </c>
      <c r="G55" s="184">
        <v>7990.19</v>
      </c>
      <c r="H55" s="229">
        <v>8012.84</v>
      </c>
      <c r="I55" s="192">
        <v>12253.52</v>
      </c>
      <c r="J55" s="195">
        <v>7084.27</v>
      </c>
      <c r="K55" s="306">
        <v>6219.7</v>
      </c>
      <c r="L55" s="306">
        <v>6433.24</v>
      </c>
      <c r="M55" s="212">
        <v>6298.5</v>
      </c>
      <c r="N55" s="217">
        <v>7741.04</v>
      </c>
      <c r="O55" s="220">
        <v>10106.01</v>
      </c>
      <c r="P55" s="304">
        <v>9051.82</v>
      </c>
      <c r="Q55" s="172">
        <v>8894.2099999999991</v>
      </c>
      <c r="R55" s="8">
        <f t="shared" si="8"/>
        <v>100274.87999999998</v>
      </c>
      <c r="S55" s="1">
        <f t="shared" si="9"/>
        <v>12</v>
      </c>
      <c r="T55" s="31">
        <f t="shared" si="10"/>
        <v>8356.239999999998</v>
      </c>
      <c r="V55" s="321">
        <f t="shared" si="11"/>
        <v>0</v>
      </c>
      <c r="W55" s="321">
        <f t="shared" si="11"/>
        <v>0</v>
      </c>
      <c r="X55" s="321">
        <f t="shared" si="11"/>
        <v>0</v>
      </c>
      <c r="Y55" s="321">
        <f t="shared" si="11"/>
        <v>0</v>
      </c>
      <c r="Z55" s="321">
        <f t="shared" si="11"/>
        <v>0</v>
      </c>
      <c r="AA55" s="321">
        <f t="shared" si="11"/>
        <v>0</v>
      </c>
      <c r="AB55" s="321">
        <f t="shared" si="11"/>
        <v>48524.82</v>
      </c>
      <c r="AC55" s="321">
        <f t="shared" si="11"/>
        <v>0</v>
      </c>
      <c r="AD55" s="321">
        <f t="shared" si="11"/>
        <v>0</v>
      </c>
      <c r="AE55" s="321">
        <f t="shared" si="11"/>
        <v>0</v>
      </c>
      <c r="AF55" s="321">
        <f t="shared" si="11"/>
        <v>0</v>
      </c>
      <c r="AG55" s="70">
        <f t="shared" si="5"/>
        <v>48524.82</v>
      </c>
      <c r="AH55" s="321">
        <f t="shared" si="6"/>
        <v>48524.82</v>
      </c>
      <c r="AI55" s="331">
        <f t="shared" si="7"/>
        <v>0</v>
      </c>
    </row>
    <row r="56" spans="1:35" ht="10.5">
      <c r="A56" s="1" t="s">
        <v>535</v>
      </c>
      <c r="B56" s="4">
        <v>7002600</v>
      </c>
      <c r="C56" s="4"/>
      <c r="D56" s="1" t="s">
        <v>655</v>
      </c>
      <c r="E56" s="1" t="s">
        <v>509</v>
      </c>
      <c r="F56" s="181">
        <v>15034.22</v>
      </c>
      <c r="G56" s="184">
        <v>12964.89</v>
      </c>
      <c r="H56" s="229">
        <v>10715.59</v>
      </c>
      <c r="I56" s="192">
        <v>16610.650000000001</v>
      </c>
      <c r="J56" s="238">
        <v>6459.03</v>
      </c>
      <c r="K56" s="238">
        <v>3595.45</v>
      </c>
      <c r="L56" s="306">
        <v>4382.7</v>
      </c>
      <c r="M56" s="212">
        <v>3739.24</v>
      </c>
      <c r="N56" s="217">
        <v>6794.1</v>
      </c>
      <c r="O56" s="220">
        <v>11642.59</v>
      </c>
      <c r="P56" s="304">
        <v>11740.85</v>
      </c>
      <c r="Q56" s="172">
        <v>9485.91</v>
      </c>
      <c r="R56" s="8">
        <f t="shared" si="8"/>
        <v>113165.22000000002</v>
      </c>
      <c r="S56" s="1">
        <f t="shared" si="9"/>
        <v>12</v>
      </c>
      <c r="T56" s="31">
        <f t="shared" si="10"/>
        <v>9430.4350000000013</v>
      </c>
      <c r="V56" s="321">
        <f t="shared" si="11"/>
        <v>0</v>
      </c>
      <c r="W56" s="321">
        <f t="shared" si="11"/>
        <v>0</v>
      </c>
      <c r="X56" s="321">
        <f t="shared" si="11"/>
        <v>0</v>
      </c>
      <c r="Y56" s="321">
        <f t="shared" si="11"/>
        <v>0</v>
      </c>
      <c r="Z56" s="321">
        <f t="shared" si="11"/>
        <v>0</v>
      </c>
      <c r="AA56" s="321">
        <f t="shared" si="11"/>
        <v>47785.39</v>
      </c>
      <c r="AB56" s="321">
        <f t="shared" si="11"/>
        <v>0</v>
      </c>
      <c r="AC56" s="321">
        <f t="shared" si="11"/>
        <v>0</v>
      </c>
      <c r="AD56" s="321">
        <f t="shared" si="11"/>
        <v>0</v>
      </c>
      <c r="AE56" s="321">
        <f t="shared" si="11"/>
        <v>0</v>
      </c>
      <c r="AF56" s="321">
        <f t="shared" si="11"/>
        <v>0</v>
      </c>
      <c r="AG56" s="70">
        <f t="shared" si="5"/>
        <v>47785.39</v>
      </c>
      <c r="AH56" s="321">
        <f t="shared" si="6"/>
        <v>47785.39</v>
      </c>
      <c r="AI56" s="331">
        <f t="shared" si="7"/>
        <v>0</v>
      </c>
    </row>
    <row r="57" spans="1:35" ht="10.5">
      <c r="A57" s="1" t="s">
        <v>537</v>
      </c>
      <c r="B57" s="4">
        <v>7007600</v>
      </c>
      <c r="C57" s="4"/>
      <c r="D57" s="1" t="s">
        <v>258</v>
      </c>
      <c r="E57" s="1" t="s">
        <v>258</v>
      </c>
      <c r="F57" s="181">
        <v>11264.88</v>
      </c>
      <c r="G57" s="184">
        <v>8075.86</v>
      </c>
      <c r="H57" s="229">
        <v>10610.63</v>
      </c>
      <c r="I57" s="192">
        <v>14819.61</v>
      </c>
      <c r="J57" s="195">
        <v>8667.23</v>
      </c>
      <c r="K57" s="238">
        <v>7387.61</v>
      </c>
      <c r="L57" s="306">
        <v>6641.02</v>
      </c>
      <c r="M57" s="212">
        <v>7468.37</v>
      </c>
      <c r="N57" s="217">
        <v>8817.49</v>
      </c>
      <c r="O57" s="220">
        <v>12074.53</v>
      </c>
      <c r="P57" s="304">
        <v>11168.24</v>
      </c>
      <c r="Q57" s="172">
        <v>9482.1</v>
      </c>
      <c r="R57" s="8">
        <f t="shared" si="8"/>
        <v>116477.57</v>
      </c>
      <c r="S57" s="1">
        <f t="shared" si="9"/>
        <v>12</v>
      </c>
      <c r="T57" s="31">
        <f t="shared" si="10"/>
        <v>9706.4641666666666</v>
      </c>
      <c r="V57" s="321">
        <f t="shared" si="11"/>
        <v>0</v>
      </c>
      <c r="W57" s="321">
        <f t="shared" si="11"/>
        <v>55651.749999999993</v>
      </c>
      <c r="X57" s="321">
        <f t="shared" si="11"/>
        <v>0</v>
      </c>
      <c r="Y57" s="321">
        <f t="shared" si="11"/>
        <v>0</v>
      </c>
      <c r="Z57" s="321">
        <f t="shared" si="11"/>
        <v>0</v>
      </c>
      <c r="AA57" s="321">
        <f t="shared" si="11"/>
        <v>0</v>
      </c>
      <c r="AB57" s="321">
        <f t="shared" si="11"/>
        <v>0</v>
      </c>
      <c r="AC57" s="321">
        <f t="shared" si="11"/>
        <v>0</v>
      </c>
      <c r="AD57" s="321">
        <f t="shared" si="11"/>
        <v>0</v>
      </c>
      <c r="AE57" s="321">
        <f t="shared" si="11"/>
        <v>0</v>
      </c>
      <c r="AF57" s="321">
        <f t="shared" si="11"/>
        <v>0</v>
      </c>
      <c r="AG57" s="70">
        <f t="shared" si="5"/>
        <v>55651.749999999993</v>
      </c>
      <c r="AH57" s="321">
        <f t="shared" si="6"/>
        <v>55651.749999999993</v>
      </c>
      <c r="AI57" s="331">
        <f t="shared" si="7"/>
        <v>0</v>
      </c>
    </row>
    <row r="58" spans="1:35" ht="10.5">
      <c r="A58" s="1" t="s">
        <v>535</v>
      </c>
      <c r="B58" s="4">
        <v>15031377</v>
      </c>
      <c r="C58" s="4"/>
      <c r="D58" s="1" t="s">
        <v>625</v>
      </c>
      <c r="E58" s="1" t="s">
        <v>625</v>
      </c>
      <c r="F58" s="181">
        <v>15224.38</v>
      </c>
      <c r="G58" s="229">
        <v>11639.74</v>
      </c>
      <c r="H58" s="229">
        <v>12182.83</v>
      </c>
      <c r="I58" s="195">
        <v>28713.23</v>
      </c>
      <c r="J58" s="238">
        <v>9950.76</v>
      </c>
      <c r="K58" s="306">
        <v>6555.39</v>
      </c>
      <c r="L58" s="306">
        <v>6243.53</v>
      </c>
      <c r="M58" s="212">
        <v>5894.78</v>
      </c>
      <c r="N58" s="217">
        <v>11938.84</v>
      </c>
      <c r="O58" s="220">
        <v>19918.88</v>
      </c>
      <c r="P58" s="304">
        <v>18899.560000000001</v>
      </c>
      <c r="Q58" s="172">
        <v>13809.35</v>
      </c>
      <c r="R58" s="8">
        <f t="shared" si="8"/>
        <v>160971.26999999999</v>
      </c>
      <c r="S58" s="1">
        <f t="shared" si="9"/>
        <v>12</v>
      </c>
      <c r="T58" s="31">
        <f t="shared" si="10"/>
        <v>13414.272499999999</v>
      </c>
      <c r="V58" s="321">
        <f t="shared" si="11"/>
        <v>0</v>
      </c>
      <c r="W58" s="321">
        <f t="shared" si="11"/>
        <v>0</v>
      </c>
      <c r="X58" s="321">
        <f t="shared" ref="W58:AF83" si="12">+IF($A58=X$1,SUM($L58:$Q58),0)</f>
        <v>0</v>
      </c>
      <c r="Y58" s="321">
        <f t="shared" si="12"/>
        <v>0</v>
      </c>
      <c r="Z58" s="321">
        <f t="shared" si="12"/>
        <v>0</v>
      </c>
      <c r="AA58" s="321">
        <f t="shared" si="12"/>
        <v>76704.94</v>
      </c>
      <c r="AB58" s="321">
        <f t="shared" si="12"/>
        <v>0</v>
      </c>
      <c r="AC58" s="321">
        <f t="shared" si="12"/>
        <v>0</v>
      </c>
      <c r="AD58" s="321">
        <f t="shared" si="12"/>
        <v>0</v>
      </c>
      <c r="AE58" s="321">
        <f t="shared" si="12"/>
        <v>0</v>
      </c>
      <c r="AF58" s="321">
        <f t="shared" si="12"/>
        <v>0</v>
      </c>
      <c r="AG58" s="70">
        <f t="shared" si="5"/>
        <v>76704.94</v>
      </c>
      <c r="AH58" s="321">
        <f t="shared" si="6"/>
        <v>76704.94</v>
      </c>
      <c r="AI58" s="331">
        <f t="shared" si="7"/>
        <v>0</v>
      </c>
    </row>
    <row r="59" spans="1:35" ht="10.5">
      <c r="A59" s="1" t="s">
        <v>535</v>
      </c>
      <c r="B59" s="4">
        <v>15018015</v>
      </c>
      <c r="C59" s="4">
        <v>131</v>
      </c>
      <c r="D59" s="1" t="s">
        <v>481</v>
      </c>
      <c r="E59" s="1" t="s">
        <v>481</v>
      </c>
      <c r="F59" s="181">
        <v>38668.42</v>
      </c>
      <c r="G59" s="184">
        <v>28115.43</v>
      </c>
      <c r="H59" s="229">
        <v>31473.86</v>
      </c>
      <c r="I59" s="192">
        <v>9275.76</v>
      </c>
      <c r="J59" s="195"/>
      <c r="K59" s="240"/>
      <c r="L59" s="307"/>
      <c r="M59" s="211"/>
      <c r="N59" s="218"/>
      <c r="O59" s="222"/>
      <c r="P59" s="316"/>
      <c r="Q59" s="173"/>
      <c r="R59" s="8">
        <f t="shared" si="8"/>
        <v>107533.47</v>
      </c>
      <c r="S59" s="1">
        <f t="shared" si="9"/>
        <v>4</v>
      </c>
      <c r="T59" s="31">
        <f t="shared" si="10"/>
        <v>26883.3675</v>
      </c>
      <c r="V59" s="321">
        <f t="shared" ref="V59:V110" si="13">+IF($A59=V$1,SUM($L59:$Q59),0)</f>
        <v>0</v>
      </c>
      <c r="W59" s="321">
        <f t="shared" si="12"/>
        <v>0</v>
      </c>
      <c r="X59" s="321">
        <f t="shared" si="12"/>
        <v>0</v>
      </c>
      <c r="Y59" s="321">
        <f t="shared" si="12"/>
        <v>0</v>
      </c>
      <c r="Z59" s="321">
        <f t="shared" si="12"/>
        <v>0</v>
      </c>
      <c r="AA59" s="321">
        <f t="shared" si="12"/>
        <v>0</v>
      </c>
      <c r="AB59" s="321">
        <f t="shared" si="12"/>
        <v>0</v>
      </c>
      <c r="AC59" s="321">
        <f t="shared" si="12"/>
        <v>0</v>
      </c>
      <c r="AD59" s="321">
        <f t="shared" si="12"/>
        <v>0</v>
      </c>
      <c r="AE59" s="321">
        <f t="shared" si="12"/>
        <v>0</v>
      </c>
      <c r="AF59" s="321">
        <f t="shared" si="12"/>
        <v>0</v>
      </c>
      <c r="AG59" s="70">
        <f t="shared" si="5"/>
        <v>0</v>
      </c>
      <c r="AH59" s="321">
        <f t="shared" si="6"/>
        <v>0</v>
      </c>
      <c r="AI59" s="331">
        <f t="shared" si="7"/>
        <v>0</v>
      </c>
    </row>
    <row r="60" spans="1:35" ht="10.5">
      <c r="A60" s="1" t="s">
        <v>537</v>
      </c>
      <c r="B60" s="4">
        <v>7006300</v>
      </c>
      <c r="C60" s="4"/>
      <c r="D60" s="1" t="s">
        <v>261</v>
      </c>
      <c r="E60" s="1" t="s">
        <v>261</v>
      </c>
      <c r="F60" s="181">
        <v>12288.88</v>
      </c>
      <c r="G60" s="184">
        <v>10794.12</v>
      </c>
      <c r="H60" s="229">
        <v>12659.4</v>
      </c>
      <c r="I60" s="192">
        <v>17526.080000000002</v>
      </c>
      <c r="J60" s="195">
        <v>10069.07</v>
      </c>
      <c r="K60" s="238">
        <v>7267.75</v>
      </c>
      <c r="L60" s="306">
        <v>8239.86</v>
      </c>
      <c r="M60" s="212">
        <v>9430.35</v>
      </c>
      <c r="N60" s="217">
        <v>11897.01</v>
      </c>
      <c r="O60" s="220">
        <v>14330.41</v>
      </c>
      <c r="P60" s="304">
        <v>13050.39</v>
      </c>
      <c r="Q60" s="172">
        <v>11700.86</v>
      </c>
      <c r="R60" s="8">
        <f t="shared" si="8"/>
        <v>139254.18</v>
      </c>
      <c r="S60" s="1">
        <f t="shared" si="9"/>
        <v>12</v>
      </c>
      <c r="T60" s="31">
        <f t="shared" si="10"/>
        <v>11604.514999999999</v>
      </c>
      <c r="V60" s="321">
        <f t="shared" si="13"/>
        <v>0</v>
      </c>
      <c r="W60" s="321">
        <f t="shared" si="12"/>
        <v>68648.88</v>
      </c>
      <c r="X60" s="321">
        <f t="shared" si="12"/>
        <v>0</v>
      </c>
      <c r="Y60" s="321">
        <f t="shared" si="12"/>
        <v>0</v>
      </c>
      <c r="Z60" s="321">
        <f t="shared" si="12"/>
        <v>0</v>
      </c>
      <c r="AA60" s="321">
        <f t="shared" si="12"/>
        <v>0</v>
      </c>
      <c r="AB60" s="321">
        <f t="shared" si="12"/>
        <v>0</v>
      </c>
      <c r="AC60" s="321">
        <f t="shared" si="12"/>
        <v>0</v>
      </c>
      <c r="AD60" s="321">
        <f t="shared" si="12"/>
        <v>0</v>
      </c>
      <c r="AE60" s="321">
        <f t="shared" si="12"/>
        <v>0</v>
      </c>
      <c r="AF60" s="321">
        <f t="shared" si="12"/>
        <v>0</v>
      </c>
      <c r="AG60" s="70">
        <f t="shared" si="5"/>
        <v>68648.88</v>
      </c>
      <c r="AH60" s="321">
        <f t="shared" si="6"/>
        <v>68648.88</v>
      </c>
      <c r="AI60" s="331">
        <f t="shared" si="7"/>
        <v>0</v>
      </c>
    </row>
    <row r="61" spans="1:35" ht="10.5">
      <c r="A61" s="1" t="s">
        <v>530</v>
      </c>
      <c r="B61" s="4">
        <v>15031776</v>
      </c>
      <c r="C61" s="4"/>
      <c r="D61" s="1" t="s">
        <v>517</v>
      </c>
      <c r="E61" s="1" t="s">
        <v>517</v>
      </c>
      <c r="F61" s="181">
        <v>15715.51</v>
      </c>
      <c r="G61" s="184">
        <v>12107.8</v>
      </c>
      <c r="H61" s="229">
        <v>14391.38</v>
      </c>
      <c r="I61" s="192">
        <v>21937.919999999998</v>
      </c>
      <c r="J61" s="195">
        <v>12820.27</v>
      </c>
      <c r="K61" s="238">
        <v>9114.85</v>
      </c>
      <c r="L61" s="306">
        <v>9895</v>
      </c>
      <c r="M61" s="212">
        <v>11803.17</v>
      </c>
      <c r="N61" s="217">
        <v>15481.19</v>
      </c>
      <c r="O61" s="220">
        <v>20271.57</v>
      </c>
      <c r="P61" s="304">
        <v>18272.669999999998</v>
      </c>
      <c r="Q61" s="172">
        <v>15684.62</v>
      </c>
      <c r="R61" s="8">
        <f t="shared" si="8"/>
        <v>177495.95</v>
      </c>
      <c r="S61" s="1">
        <f t="shared" si="9"/>
        <v>12</v>
      </c>
      <c r="T61" s="31">
        <f t="shared" si="10"/>
        <v>14791.329166666668</v>
      </c>
      <c r="V61" s="321">
        <f t="shared" si="13"/>
        <v>0</v>
      </c>
      <c r="W61" s="321">
        <f t="shared" si="12"/>
        <v>0</v>
      </c>
      <c r="X61" s="321">
        <f t="shared" si="12"/>
        <v>0</v>
      </c>
      <c r="Y61" s="321">
        <f t="shared" si="12"/>
        <v>91408.22</v>
      </c>
      <c r="Z61" s="321">
        <f t="shared" si="12"/>
        <v>0</v>
      </c>
      <c r="AA61" s="321">
        <f t="shared" si="12"/>
        <v>0</v>
      </c>
      <c r="AB61" s="321">
        <f t="shared" si="12"/>
        <v>0</v>
      </c>
      <c r="AC61" s="321">
        <f t="shared" si="12"/>
        <v>0</v>
      </c>
      <c r="AD61" s="321">
        <f t="shared" si="12"/>
        <v>0</v>
      </c>
      <c r="AE61" s="321">
        <f t="shared" si="12"/>
        <v>0</v>
      </c>
      <c r="AF61" s="321">
        <f t="shared" si="12"/>
        <v>0</v>
      </c>
      <c r="AG61" s="70">
        <f t="shared" si="5"/>
        <v>91408.22</v>
      </c>
      <c r="AH61" s="321">
        <f t="shared" si="6"/>
        <v>91408.22</v>
      </c>
      <c r="AI61" s="331">
        <f t="shared" si="7"/>
        <v>0</v>
      </c>
    </row>
    <row r="62" spans="1:35" ht="10.5">
      <c r="A62" s="1" t="s">
        <v>530</v>
      </c>
      <c r="B62" s="4">
        <v>7002700</v>
      </c>
      <c r="C62" s="4">
        <v>110</v>
      </c>
      <c r="D62" s="1" t="s">
        <v>262</v>
      </c>
      <c r="E62" s="1" t="s">
        <v>262</v>
      </c>
      <c r="F62" s="181">
        <v>97.68</v>
      </c>
      <c r="G62" s="184">
        <v>88.49</v>
      </c>
      <c r="H62" s="229">
        <v>90.9</v>
      </c>
      <c r="I62" s="192">
        <v>99.26</v>
      </c>
      <c r="J62" s="238">
        <v>89.73</v>
      </c>
      <c r="K62" s="306">
        <v>81.239999999999995</v>
      </c>
      <c r="L62" s="217">
        <v>65.53</v>
      </c>
      <c r="M62" s="217">
        <v>73.59</v>
      </c>
      <c r="N62" s="217">
        <v>74.87</v>
      </c>
      <c r="O62" s="304">
        <v>89.63</v>
      </c>
      <c r="P62" s="304">
        <v>105.13</v>
      </c>
      <c r="Q62" s="172">
        <v>90.79</v>
      </c>
      <c r="R62" s="8">
        <f t="shared" si="8"/>
        <v>1046.8400000000001</v>
      </c>
      <c r="S62" s="1">
        <f t="shared" si="9"/>
        <v>12</v>
      </c>
      <c r="T62" s="31">
        <f t="shared" si="10"/>
        <v>87.236666666666679</v>
      </c>
      <c r="V62" s="321">
        <f t="shared" si="13"/>
        <v>0</v>
      </c>
      <c r="W62" s="321">
        <f t="shared" si="12"/>
        <v>0</v>
      </c>
      <c r="X62" s="321">
        <f t="shared" si="12"/>
        <v>0</v>
      </c>
      <c r="Y62" s="321">
        <f t="shared" si="12"/>
        <v>499.54</v>
      </c>
      <c r="Z62" s="321">
        <f t="shared" si="12"/>
        <v>0</v>
      </c>
      <c r="AA62" s="321">
        <f t="shared" si="12"/>
        <v>0</v>
      </c>
      <c r="AB62" s="321">
        <f t="shared" si="12"/>
        <v>0</v>
      </c>
      <c r="AC62" s="321">
        <f t="shared" si="12"/>
        <v>0</v>
      </c>
      <c r="AD62" s="321">
        <f t="shared" si="12"/>
        <v>0</v>
      </c>
      <c r="AE62" s="321">
        <f t="shared" si="12"/>
        <v>0</v>
      </c>
      <c r="AF62" s="321">
        <f t="shared" si="12"/>
        <v>0</v>
      </c>
      <c r="AG62" s="70">
        <f t="shared" si="5"/>
        <v>499.54</v>
      </c>
      <c r="AH62" s="321">
        <f t="shared" si="6"/>
        <v>499.54</v>
      </c>
      <c r="AI62" s="331">
        <f t="shared" si="7"/>
        <v>0</v>
      </c>
    </row>
    <row r="63" spans="1:35" ht="10.5">
      <c r="A63" s="1" t="s">
        <v>533</v>
      </c>
      <c r="B63" s="4">
        <v>7008700</v>
      </c>
      <c r="C63" s="4">
        <v>773</v>
      </c>
      <c r="D63" s="1" t="s">
        <v>109</v>
      </c>
      <c r="E63" s="1" t="s">
        <v>109</v>
      </c>
      <c r="F63" s="181">
        <v>1971.36</v>
      </c>
      <c r="G63" s="184">
        <v>987.96</v>
      </c>
      <c r="H63" s="229">
        <v>2836.02</v>
      </c>
      <c r="I63" s="192">
        <v>4457.5200000000004</v>
      </c>
      <c r="J63" s="195">
        <v>1974.9</v>
      </c>
      <c r="K63" s="238">
        <v>361.92</v>
      </c>
      <c r="L63" s="306">
        <v>474.84</v>
      </c>
      <c r="M63" s="212">
        <v>624.66</v>
      </c>
      <c r="N63" s="217">
        <v>1057.8</v>
      </c>
      <c r="O63" s="220">
        <v>2118.3000000000002</v>
      </c>
      <c r="P63" s="304">
        <v>1765.5</v>
      </c>
      <c r="Q63" s="172">
        <v>1197.6600000000001</v>
      </c>
      <c r="R63" s="8">
        <f t="shared" si="8"/>
        <v>19828.439999999999</v>
      </c>
      <c r="S63" s="1">
        <f t="shared" si="9"/>
        <v>12</v>
      </c>
      <c r="T63" s="31">
        <f t="shared" si="10"/>
        <v>1652.37</v>
      </c>
      <c r="V63" s="321">
        <f t="shared" si="13"/>
        <v>0</v>
      </c>
      <c r="W63" s="321">
        <f t="shared" si="12"/>
        <v>0</v>
      </c>
      <c r="X63" s="321">
        <f t="shared" si="12"/>
        <v>0</v>
      </c>
      <c r="Y63" s="321">
        <f t="shared" si="12"/>
        <v>0</v>
      </c>
      <c r="Z63" s="321">
        <f t="shared" si="12"/>
        <v>0</v>
      </c>
      <c r="AA63" s="321">
        <f t="shared" si="12"/>
        <v>0</v>
      </c>
      <c r="AB63" s="321">
        <f t="shared" si="12"/>
        <v>7238.76</v>
      </c>
      <c r="AC63" s="321">
        <f t="shared" si="12"/>
        <v>0</v>
      </c>
      <c r="AD63" s="321">
        <f t="shared" si="12"/>
        <v>0</v>
      </c>
      <c r="AE63" s="321">
        <f t="shared" si="12"/>
        <v>0</v>
      </c>
      <c r="AF63" s="321">
        <f t="shared" si="12"/>
        <v>0</v>
      </c>
      <c r="AG63" s="70">
        <f t="shared" si="5"/>
        <v>7238.76</v>
      </c>
      <c r="AH63" s="321">
        <f t="shared" si="6"/>
        <v>7238.76</v>
      </c>
      <c r="AI63" s="331">
        <f t="shared" si="7"/>
        <v>0</v>
      </c>
    </row>
    <row r="64" spans="1:35" ht="10.5">
      <c r="B64" s="4">
        <v>7008800</v>
      </c>
      <c r="C64" s="4">
        <v>534</v>
      </c>
      <c r="D64" s="1" t="s">
        <v>88</v>
      </c>
      <c r="E64" s="1" t="s">
        <v>88</v>
      </c>
      <c r="F64" s="181">
        <v>553.57000000000005</v>
      </c>
      <c r="G64" s="184">
        <v>586.35</v>
      </c>
      <c r="H64" s="229">
        <v>755.37</v>
      </c>
      <c r="I64" s="192">
        <v>1543.11</v>
      </c>
      <c r="J64" s="195">
        <v>824.91</v>
      </c>
      <c r="K64" s="238">
        <v>388.84</v>
      </c>
      <c r="L64" s="306">
        <v>246.54</v>
      </c>
      <c r="M64" s="212">
        <f>372.66-19.43</f>
        <v>353.23</v>
      </c>
      <c r="N64" s="217">
        <f>201.66-6.07</f>
        <v>195.59</v>
      </c>
      <c r="O64" s="220">
        <v>706.39</v>
      </c>
      <c r="P64" s="304">
        <v>953.24</v>
      </c>
      <c r="Q64" s="172">
        <v>520.20000000000005</v>
      </c>
      <c r="R64" s="8">
        <f t="shared" si="8"/>
        <v>7627.34</v>
      </c>
      <c r="S64" s="1">
        <f t="shared" si="9"/>
        <v>12</v>
      </c>
      <c r="T64" s="31">
        <f t="shared" si="10"/>
        <v>635.61166666666668</v>
      </c>
      <c r="V64" s="321">
        <f t="shared" si="13"/>
        <v>0</v>
      </c>
      <c r="W64" s="321">
        <f t="shared" si="12"/>
        <v>0</v>
      </c>
      <c r="X64" s="321">
        <f t="shared" si="12"/>
        <v>0</v>
      </c>
      <c r="Y64" s="321">
        <f t="shared" si="12"/>
        <v>0</v>
      </c>
      <c r="Z64" s="321">
        <f t="shared" si="12"/>
        <v>0</v>
      </c>
      <c r="AA64" s="321">
        <f t="shared" si="12"/>
        <v>0</v>
      </c>
      <c r="AB64" s="321">
        <f t="shared" si="12"/>
        <v>0</v>
      </c>
      <c r="AC64" s="321">
        <f t="shared" si="12"/>
        <v>0</v>
      </c>
      <c r="AD64" s="321">
        <f t="shared" si="12"/>
        <v>0</v>
      </c>
      <c r="AE64" s="321">
        <f t="shared" si="12"/>
        <v>0</v>
      </c>
      <c r="AF64" s="321">
        <f t="shared" si="12"/>
        <v>2975.1899999999996</v>
      </c>
      <c r="AG64" s="70">
        <f t="shared" si="5"/>
        <v>2975.1899999999996</v>
      </c>
      <c r="AH64" s="321">
        <f t="shared" si="6"/>
        <v>2975.1899999999996</v>
      </c>
      <c r="AI64" s="331">
        <f t="shared" si="7"/>
        <v>0</v>
      </c>
    </row>
    <row r="65" spans="1:35" ht="10.5">
      <c r="B65" s="42">
        <v>13943600</v>
      </c>
      <c r="C65" s="42"/>
      <c r="D65" s="11" t="s">
        <v>628</v>
      </c>
      <c r="E65" s="11" t="s">
        <v>602</v>
      </c>
      <c r="F65" s="181">
        <v>124.8</v>
      </c>
      <c r="G65" s="184">
        <f>117.84+124.8</f>
        <v>242.64</v>
      </c>
      <c r="H65" s="32"/>
      <c r="I65" s="195">
        <v>140.04</v>
      </c>
      <c r="J65" s="195">
        <v>149.97</v>
      </c>
      <c r="K65" s="238"/>
      <c r="L65" s="306">
        <v>103.02</v>
      </c>
      <c r="M65" s="217">
        <v>19.5</v>
      </c>
      <c r="N65" s="217"/>
      <c r="O65" s="220">
        <v>148.80000000000001</v>
      </c>
      <c r="P65" s="304">
        <v>252.98</v>
      </c>
      <c r="Q65" s="172">
        <v>177.42</v>
      </c>
      <c r="R65" s="8">
        <f t="shared" si="8"/>
        <v>1359.17</v>
      </c>
      <c r="S65" s="1">
        <f t="shared" si="9"/>
        <v>9</v>
      </c>
      <c r="T65" s="31">
        <f t="shared" si="10"/>
        <v>151.01888888888891</v>
      </c>
      <c r="V65" s="321">
        <f t="shared" si="13"/>
        <v>0</v>
      </c>
      <c r="W65" s="321">
        <f t="shared" si="12"/>
        <v>0</v>
      </c>
      <c r="X65" s="321">
        <f t="shared" si="12"/>
        <v>0</v>
      </c>
      <c r="Y65" s="321">
        <f t="shared" si="12"/>
        <v>0</v>
      </c>
      <c r="Z65" s="321">
        <f t="shared" si="12"/>
        <v>0</v>
      </c>
      <c r="AA65" s="321">
        <f t="shared" si="12"/>
        <v>0</v>
      </c>
      <c r="AB65" s="321">
        <f t="shared" si="12"/>
        <v>0</v>
      </c>
      <c r="AC65" s="321">
        <f t="shared" si="12"/>
        <v>0</v>
      </c>
      <c r="AD65" s="321">
        <f t="shared" si="12"/>
        <v>0</v>
      </c>
      <c r="AE65" s="321">
        <f t="shared" si="12"/>
        <v>0</v>
      </c>
      <c r="AF65" s="321">
        <f t="shared" si="12"/>
        <v>701.71999999999991</v>
      </c>
      <c r="AG65" s="70">
        <f t="shared" si="5"/>
        <v>701.71999999999991</v>
      </c>
      <c r="AH65" s="321">
        <f t="shared" si="6"/>
        <v>701.71999999999991</v>
      </c>
      <c r="AI65" s="331">
        <f t="shared" si="7"/>
        <v>0</v>
      </c>
    </row>
    <row r="66" spans="1:35" ht="10.5">
      <c r="A66" s="1" t="s">
        <v>663</v>
      </c>
      <c r="B66" s="4">
        <v>10288600</v>
      </c>
      <c r="C66" s="4">
        <v>134</v>
      </c>
      <c r="D66" s="1" t="s">
        <v>264</v>
      </c>
      <c r="E66" s="1" t="s">
        <v>264</v>
      </c>
      <c r="F66" s="181">
        <v>97477.119999999995</v>
      </c>
      <c r="G66" s="184">
        <v>89955.37</v>
      </c>
      <c r="H66" s="229">
        <v>83515.45</v>
      </c>
      <c r="I66" s="192">
        <v>130142.96</v>
      </c>
      <c r="J66" s="195">
        <v>64074.13</v>
      </c>
      <c r="K66" s="238">
        <v>37043.879999999997</v>
      </c>
      <c r="L66" s="306">
        <v>39055.019999999997</v>
      </c>
      <c r="M66" s="212">
        <v>44202.41</v>
      </c>
      <c r="N66" s="217">
        <v>68975.240000000005</v>
      </c>
      <c r="O66" s="220">
        <v>93400.01</v>
      </c>
      <c r="P66" s="304">
        <v>98180.7</v>
      </c>
      <c r="Q66" s="172">
        <v>74321.149999999994</v>
      </c>
      <c r="R66" s="8">
        <f t="shared" si="8"/>
        <v>920343.44000000006</v>
      </c>
      <c r="S66" s="1">
        <f t="shared" si="9"/>
        <v>12</v>
      </c>
      <c r="T66" s="31">
        <f t="shared" si="10"/>
        <v>76695.286666666667</v>
      </c>
      <c r="V66" s="321">
        <f t="shared" si="13"/>
        <v>0</v>
      </c>
      <c r="W66" s="321">
        <f t="shared" si="12"/>
        <v>0</v>
      </c>
      <c r="X66" s="321">
        <f t="shared" si="12"/>
        <v>0</v>
      </c>
      <c r="Y66" s="321">
        <f t="shared" si="12"/>
        <v>0</v>
      </c>
      <c r="Z66" s="321">
        <f t="shared" si="12"/>
        <v>0</v>
      </c>
      <c r="AA66" s="321">
        <f t="shared" si="12"/>
        <v>418134.53</v>
      </c>
      <c r="AB66" s="321">
        <f t="shared" si="12"/>
        <v>0</v>
      </c>
      <c r="AC66" s="321">
        <f t="shared" si="12"/>
        <v>0</v>
      </c>
      <c r="AD66" s="321">
        <f t="shared" si="12"/>
        <v>0</v>
      </c>
      <c r="AE66" s="321">
        <f t="shared" si="12"/>
        <v>0</v>
      </c>
      <c r="AF66" s="321">
        <f t="shared" si="12"/>
        <v>0</v>
      </c>
      <c r="AG66" s="70">
        <f t="shared" si="5"/>
        <v>418134.53</v>
      </c>
      <c r="AH66" s="321">
        <f t="shared" si="6"/>
        <v>418134.53</v>
      </c>
      <c r="AI66" s="331">
        <f t="shared" si="7"/>
        <v>0</v>
      </c>
    </row>
    <row r="67" spans="1:35" ht="10.5">
      <c r="B67" s="4">
        <v>15010643</v>
      </c>
      <c r="C67" s="4"/>
      <c r="D67" s="1" t="s">
        <v>585</v>
      </c>
      <c r="E67" s="1" t="s">
        <v>586</v>
      </c>
      <c r="F67" s="181">
        <v>38.1</v>
      </c>
      <c r="G67" s="184">
        <v>9.6</v>
      </c>
      <c r="H67" s="192">
        <v>14.82</v>
      </c>
      <c r="I67" s="192">
        <v>54.06</v>
      </c>
      <c r="J67" s="195"/>
      <c r="K67" s="238"/>
      <c r="L67" s="306"/>
      <c r="M67" s="212">
        <v>12.36</v>
      </c>
      <c r="N67" s="217"/>
      <c r="O67" s="220">
        <v>32.520000000000003</v>
      </c>
      <c r="P67" s="304">
        <v>28.08</v>
      </c>
      <c r="Q67" s="172"/>
      <c r="R67" s="8">
        <f t="shared" si="8"/>
        <v>189.54000000000002</v>
      </c>
      <c r="S67" s="1">
        <f t="shared" si="9"/>
        <v>7</v>
      </c>
      <c r="T67" s="31">
        <f t="shared" si="10"/>
        <v>27.07714285714286</v>
      </c>
      <c r="V67" s="321">
        <f t="shared" si="13"/>
        <v>0</v>
      </c>
      <c r="W67" s="321">
        <f t="shared" si="12"/>
        <v>0</v>
      </c>
      <c r="X67" s="321">
        <f t="shared" si="12"/>
        <v>0</v>
      </c>
      <c r="Y67" s="321">
        <f t="shared" si="12"/>
        <v>0</v>
      </c>
      <c r="Z67" s="321">
        <f t="shared" si="12"/>
        <v>0</v>
      </c>
      <c r="AA67" s="321">
        <f t="shared" si="12"/>
        <v>0</v>
      </c>
      <c r="AB67" s="321">
        <f t="shared" si="12"/>
        <v>0</v>
      </c>
      <c r="AC67" s="321">
        <f t="shared" si="12"/>
        <v>0</v>
      </c>
      <c r="AD67" s="321">
        <f t="shared" si="12"/>
        <v>0</v>
      </c>
      <c r="AE67" s="321">
        <f t="shared" si="12"/>
        <v>0</v>
      </c>
      <c r="AF67" s="321">
        <f t="shared" si="12"/>
        <v>72.960000000000008</v>
      </c>
      <c r="AG67" s="70">
        <f t="shared" ref="AG67:AG110" si="14">+SUM(V67:AF67)</f>
        <v>72.960000000000008</v>
      </c>
      <c r="AH67" s="321">
        <f t="shared" ref="AH67:AH110" si="15">+SUM(L67:Q67)</f>
        <v>72.960000000000008</v>
      </c>
      <c r="AI67" s="331">
        <f t="shared" ref="AI67:AI110" si="16">+AG67-AH67</f>
        <v>0</v>
      </c>
    </row>
    <row r="68" spans="1:35" ht="10.5">
      <c r="A68" s="1" t="s">
        <v>533</v>
      </c>
      <c r="B68" s="4">
        <v>15013835</v>
      </c>
      <c r="C68" s="4">
        <v>4129</v>
      </c>
      <c r="D68" s="1" t="s">
        <v>510</v>
      </c>
      <c r="E68" s="1" t="s">
        <v>510</v>
      </c>
      <c r="F68" s="181">
        <v>8620.02</v>
      </c>
      <c r="G68" s="184">
        <v>8412.84</v>
      </c>
      <c r="H68" s="229">
        <v>5719.32</v>
      </c>
      <c r="I68" s="192">
        <v>7648.68</v>
      </c>
      <c r="J68" s="195">
        <v>6190.26</v>
      </c>
      <c r="K68" s="238">
        <v>5490.42</v>
      </c>
      <c r="L68" s="306">
        <v>4664.88</v>
      </c>
      <c r="M68" s="212">
        <v>5161.8599999999997</v>
      </c>
      <c r="N68" s="217">
        <v>7084.68</v>
      </c>
      <c r="O68" s="220">
        <v>7264.62</v>
      </c>
      <c r="P68" s="304">
        <v>6031.56</v>
      </c>
      <c r="Q68" s="172">
        <v>6531.18</v>
      </c>
      <c r="R68" s="8">
        <f t="shared" ref="R68:R83" si="17">+SUM(F68:Q68)</f>
        <v>78820.320000000007</v>
      </c>
      <c r="S68" s="1">
        <f t="shared" ref="S68:S83" si="18">COUNT(F68:Q68)</f>
        <v>12</v>
      </c>
      <c r="T68" s="31">
        <f t="shared" ref="T68:T83" si="19">+IF(R68=0,0,R68/S68)</f>
        <v>6568.3600000000006</v>
      </c>
      <c r="V68" s="321">
        <f t="shared" si="13"/>
        <v>0</v>
      </c>
      <c r="W68" s="321">
        <f t="shared" si="12"/>
        <v>0</v>
      </c>
      <c r="X68" s="321">
        <f t="shared" si="12"/>
        <v>0</v>
      </c>
      <c r="Y68" s="321">
        <f t="shared" si="12"/>
        <v>0</v>
      </c>
      <c r="Z68" s="321">
        <f t="shared" si="12"/>
        <v>0</v>
      </c>
      <c r="AA68" s="321">
        <f t="shared" si="12"/>
        <v>0</v>
      </c>
      <c r="AB68" s="321">
        <f t="shared" si="12"/>
        <v>36738.78</v>
      </c>
      <c r="AC68" s="321">
        <f t="shared" si="12"/>
        <v>0</v>
      </c>
      <c r="AD68" s="321">
        <f t="shared" si="12"/>
        <v>0</v>
      </c>
      <c r="AE68" s="321">
        <f t="shared" si="12"/>
        <v>0</v>
      </c>
      <c r="AF68" s="321">
        <f t="shared" si="12"/>
        <v>0</v>
      </c>
      <c r="AG68" s="70">
        <f t="shared" si="14"/>
        <v>36738.78</v>
      </c>
      <c r="AH68" s="321">
        <f t="shared" si="15"/>
        <v>36738.78</v>
      </c>
      <c r="AI68" s="331">
        <f t="shared" si="16"/>
        <v>0</v>
      </c>
    </row>
    <row r="69" spans="1:35" ht="10.5">
      <c r="B69" s="4">
        <v>15037661</v>
      </c>
      <c r="C69" s="4"/>
      <c r="D69" s="1" t="s">
        <v>587</v>
      </c>
      <c r="E69" s="1" t="s">
        <v>588</v>
      </c>
      <c r="F69" s="181">
        <v>375</v>
      </c>
      <c r="G69" s="184">
        <v>360</v>
      </c>
      <c r="H69" s="229">
        <v>253.2</v>
      </c>
      <c r="I69" s="238">
        <v>332.32</v>
      </c>
      <c r="J69" s="238">
        <v>55.38</v>
      </c>
      <c r="K69" s="238">
        <f>276.93-34.63</f>
        <v>242.3</v>
      </c>
      <c r="L69" s="306"/>
      <c r="M69" s="212"/>
      <c r="N69" s="217"/>
      <c r="O69" s="220"/>
      <c r="P69" s="304"/>
      <c r="Q69" s="172"/>
      <c r="R69" s="8">
        <f t="shared" si="17"/>
        <v>1618.2</v>
      </c>
      <c r="S69" s="1">
        <f t="shared" si="18"/>
        <v>6</v>
      </c>
      <c r="T69" s="31">
        <f t="shared" si="19"/>
        <v>269.7</v>
      </c>
      <c r="V69" s="321">
        <f t="shared" si="13"/>
        <v>0</v>
      </c>
      <c r="W69" s="321">
        <f t="shared" si="12"/>
        <v>0</v>
      </c>
      <c r="X69" s="321">
        <f t="shared" si="12"/>
        <v>0</v>
      </c>
      <c r="Y69" s="321">
        <f t="shared" si="12"/>
        <v>0</v>
      </c>
      <c r="Z69" s="321">
        <f t="shared" si="12"/>
        <v>0</v>
      </c>
      <c r="AA69" s="321">
        <f t="shared" si="12"/>
        <v>0</v>
      </c>
      <c r="AB69" s="321">
        <f t="shared" si="12"/>
        <v>0</v>
      </c>
      <c r="AC69" s="321">
        <f t="shared" si="12"/>
        <v>0</v>
      </c>
      <c r="AD69" s="321">
        <f t="shared" si="12"/>
        <v>0</v>
      </c>
      <c r="AE69" s="321">
        <f t="shared" si="12"/>
        <v>0</v>
      </c>
      <c r="AF69" s="321">
        <f t="shared" si="12"/>
        <v>0</v>
      </c>
      <c r="AG69" s="70">
        <f t="shared" si="14"/>
        <v>0</v>
      </c>
      <c r="AH69" s="321">
        <f t="shared" si="15"/>
        <v>0</v>
      </c>
      <c r="AI69" s="331">
        <f t="shared" si="16"/>
        <v>0</v>
      </c>
    </row>
    <row r="70" spans="1:35" ht="10.5">
      <c r="B70" s="4">
        <v>3555200</v>
      </c>
      <c r="C70" s="4"/>
      <c r="D70" s="1" t="s">
        <v>575</v>
      </c>
      <c r="E70" s="1" t="s">
        <v>576</v>
      </c>
      <c r="F70" s="297"/>
      <c r="G70" s="297"/>
      <c r="H70" s="297"/>
      <c r="I70" s="297"/>
      <c r="J70" s="297"/>
      <c r="K70" s="297"/>
      <c r="L70" s="297"/>
      <c r="M70" s="297"/>
      <c r="N70" s="297"/>
      <c r="O70" s="297"/>
      <c r="P70" s="297"/>
      <c r="Q70" s="297"/>
      <c r="R70" s="8">
        <f t="shared" si="17"/>
        <v>0</v>
      </c>
      <c r="S70" s="1">
        <f t="shared" si="18"/>
        <v>0</v>
      </c>
      <c r="T70" s="31">
        <f t="shared" si="19"/>
        <v>0</v>
      </c>
      <c r="V70" s="321">
        <f t="shared" si="13"/>
        <v>0</v>
      </c>
      <c r="W70" s="321">
        <f t="shared" si="12"/>
        <v>0</v>
      </c>
      <c r="X70" s="321">
        <f t="shared" si="12"/>
        <v>0</v>
      </c>
      <c r="Y70" s="321">
        <f t="shared" si="12"/>
        <v>0</v>
      </c>
      <c r="Z70" s="321">
        <f t="shared" si="12"/>
        <v>0</v>
      </c>
      <c r="AA70" s="321">
        <f t="shared" si="12"/>
        <v>0</v>
      </c>
      <c r="AB70" s="321">
        <f t="shared" si="12"/>
        <v>0</v>
      </c>
      <c r="AC70" s="321">
        <f t="shared" si="12"/>
        <v>0</v>
      </c>
      <c r="AD70" s="321">
        <f t="shared" si="12"/>
        <v>0</v>
      </c>
      <c r="AE70" s="321">
        <f t="shared" si="12"/>
        <v>0</v>
      </c>
      <c r="AF70" s="321">
        <f t="shared" si="12"/>
        <v>0</v>
      </c>
      <c r="AG70" s="70">
        <f t="shared" si="14"/>
        <v>0</v>
      </c>
      <c r="AH70" s="321">
        <f t="shared" si="15"/>
        <v>0</v>
      </c>
      <c r="AI70" s="331">
        <f t="shared" si="16"/>
        <v>0</v>
      </c>
    </row>
    <row r="71" spans="1:35" ht="10.5">
      <c r="A71" s="1" t="s">
        <v>659</v>
      </c>
      <c r="B71" s="4">
        <v>7005102</v>
      </c>
      <c r="C71" s="4">
        <v>111</v>
      </c>
      <c r="D71" s="1" t="s">
        <v>633</v>
      </c>
      <c r="E71" s="1" t="s">
        <v>265</v>
      </c>
      <c r="F71" s="181">
        <v>8699.7800000000007</v>
      </c>
      <c r="G71" s="184">
        <v>7208.84</v>
      </c>
      <c r="H71" s="229">
        <v>7287.63</v>
      </c>
      <c r="I71" s="192">
        <v>10347.98</v>
      </c>
      <c r="J71" s="195">
        <v>5031.88</v>
      </c>
      <c r="K71" s="238">
        <v>4798.28</v>
      </c>
      <c r="L71" s="306">
        <v>4742.13</v>
      </c>
      <c r="M71" s="212">
        <v>4809.16</v>
      </c>
      <c r="N71" s="217">
        <v>8291.35</v>
      </c>
      <c r="O71" s="220">
        <v>8869.18</v>
      </c>
      <c r="P71" s="304">
        <v>7755.62</v>
      </c>
      <c r="Q71" s="181">
        <v>7483.28</v>
      </c>
      <c r="R71" s="8">
        <f t="shared" si="17"/>
        <v>85325.109999999986</v>
      </c>
      <c r="S71" s="1">
        <f t="shared" si="18"/>
        <v>12</v>
      </c>
      <c r="T71" s="31">
        <f t="shared" si="19"/>
        <v>7110.4258333333319</v>
      </c>
      <c r="V71" s="321">
        <f t="shared" si="13"/>
        <v>0</v>
      </c>
      <c r="W71" s="321">
        <f t="shared" si="12"/>
        <v>0</v>
      </c>
      <c r="X71" s="321">
        <f t="shared" si="12"/>
        <v>0</v>
      </c>
      <c r="Y71" s="321">
        <f t="shared" si="12"/>
        <v>0</v>
      </c>
      <c r="Z71" s="321">
        <f t="shared" si="12"/>
        <v>0</v>
      </c>
      <c r="AA71" s="321">
        <f t="shared" si="12"/>
        <v>0</v>
      </c>
      <c r="AB71" s="321">
        <f t="shared" si="12"/>
        <v>0</v>
      </c>
      <c r="AC71" s="321">
        <f t="shared" si="12"/>
        <v>41950.720000000001</v>
      </c>
      <c r="AD71" s="321">
        <f t="shared" si="12"/>
        <v>0</v>
      </c>
      <c r="AE71" s="321">
        <f t="shared" si="12"/>
        <v>0</v>
      </c>
      <c r="AF71" s="321">
        <f t="shared" si="12"/>
        <v>0</v>
      </c>
      <c r="AG71" s="70">
        <f t="shared" si="14"/>
        <v>41950.720000000001</v>
      </c>
      <c r="AH71" s="321">
        <f t="shared" si="15"/>
        <v>41950.720000000001</v>
      </c>
      <c r="AI71" s="331">
        <f t="shared" si="16"/>
        <v>0</v>
      </c>
    </row>
    <row r="72" spans="1:35" ht="10.5">
      <c r="A72" s="1" t="s">
        <v>659</v>
      </c>
      <c r="B72" s="4">
        <v>15028327</v>
      </c>
      <c r="C72" s="4">
        <v>112</v>
      </c>
      <c r="D72" s="1" t="s">
        <v>566</v>
      </c>
      <c r="E72" s="1" t="s">
        <v>511</v>
      </c>
      <c r="F72" s="181">
        <v>6965.37</v>
      </c>
      <c r="G72" s="184">
        <v>6226.75</v>
      </c>
      <c r="H72" s="229">
        <v>5560.85</v>
      </c>
      <c r="I72" s="195">
        <v>7570.87</v>
      </c>
      <c r="J72" s="195">
        <v>4564.8100000000004</v>
      </c>
      <c r="K72" s="238">
        <v>4184.97</v>
      </c>
      <c r="L72" s="306">
        <v>3671.94</v>
      </c>
      <c r="M72" s="212">
        <v>4272.7</v>
      </c>
      <c r="N72" s="217">
        <v>5721.79</v>
      </c>
      <c r="O72" s="220">
        <v>6544.27</v>
      </c>
      <c r="P72" s="304">
        <v>5333.76</v>
      </c>
      <c r="Q72" s="172">
        <v>4628.87</v>
      </c>
      <c r="R72" s="8">
        <f t="shared" si="17"/>
        <v>65246.950000000012</v>
      </c>
      <c r="S72" s="1">
        <f t="shared" si="18"/>
        <v>12</v>
      </c>
      <c r="T72" s="31">
        <f t="shared" si="19"/>
        <v>5437.2458333333343</v>
      </c>
      <c r="V72" s="321">
        <f t="shared" si="13"/>
        <v>0</v>
      </c>
      <c r="W72" s="321">
        <f t="shared" si="12"/>
        <v>0</v>
      </c>
      <c r="X72" s="321">
        <f t="shared" si="12"/>
        <v>0</v>
      </c>
      <c r="Y72" s="321">
        <f t="shared" si="12"/>
        <v>0</v>
      </c>
      <c r="Z72" s="321">
        <f t="shared" si="12"/>
        <v>0</v>
      </c>
      <c r="AA72" s="321">
        <f t="shared" si="12"/>
        <v>0</v>
      </c>
      <c r="AB72" s="321">
        <f t="shared" si="12"/>
        <v>0</v>
      </c>
      <c r="AC72" s="321">
        <f t="shared" si="12"/>
        <v>30173.329999999998</v>
      </c>
      <c r="AD72" s="321">
        <f t="shared" si="12"/>
        <v>0</v>
      </c>
      <c r="AE72" s="321">
        <f t="shared" si="12"/>
        <v>0</v>
      </c>
      <c r="AF72" s="321">
        <f t="shared" si="12"/>
        <v>0</v>
      </c>
      <c r="AG72" s="70">
        <f t="shared" si="14"/>
        <v>30173.329999999998</v>
      </c>
      <c r="AH72" s="321">
        <f t="shared" si="15"/>
        <v>30173.329999999998</v>
      </c>
      <c r="AI72" s="331">
        <f t="shared" si="16"/>
        <v>0</v>
      </c>
    </row>
    <row r="73" spans="1:35" ht="10.5">
      <c r="A73" s="1" t="s">
        <v>535</v>
      </c>
      <c r="B73" s="4">
        <v>7003101</v>
      </c>
      <c r="C73" s="4">
        <v>113</v>
      </c>
      <c r="D73" s="1" t="s">
        <v>635</v>
      </c>
      <c r="E73" s="1" t="s">
        <v>267</v>
      </c>
      <c r="F73" s="181">
        <v>1015.79</v>
      </c>
      <c r="G73" s="184">
        <v>1241.98</v>
      </c>
      <c r="H73" s="229">
        <v>1261.5</v>
      </c>
      <c r="I73" s="192">
        <v>1421.89</v>
      </c>
      <c r="J73" s="195">
        <v>960.73</v>
      </c>
      <c r="K73" s="238">
        <v>1032.6199999999999</v>
      </c>
      <c r="L73" s="306">
        <v>825.36</v>
      </c>
      <c r="M73" s="212">
        <v>918.46</v>
      </c>
      <c r="N73" s="217">
        <v>457.48</v>
      </c>
      <c r="O73" s="222"/>
      <c r="P73" s="316"/>
      <c r="Q73" s="173"/>
      <c r="R73" s="8">
        <f t="shared" si="17"/>
        <v>9135.8099999999977</v>
      </c>
      <c r="S73" s="1">
        <f t="shared" si="18"/>
        <v>9</v>
      </c>
      <c r="T73" s="31">
        <f t="shared" si="19"/>
        <v>1015.0899999999997</v>
      </c>
      <c r="V73" s="321">
        <f t="shared" si="13"/>
        <v>0</v>
      </c>
      <c r="W73" s="321">
        <f t="shared" si="12"/>
        <v>0</v>
      </c>
      <c r="X73" s="321">
        <f t="shared" si="12"/>
        <v>0</v>
      </c>
      <c r="Y73" s="321">
        <f t="shared" si="12"/>
        <v>0</v>
      </c>
      <c r="Z73" s="321">
        <f t="shared" si="12"/>
        <v>0</v>
      </c>
      <c r="AA73" s="321">
        <f t="shared" si="12"/>
        <v>2201.3000000000002</v>
      </c>
      <c r="AB73" s="321">
        <f t="shared" si="12"/>
        <v>0</v>
      </c>
      <c r="AC73" s="321">
        <f t="shared" si="12"/>
        <v>0</v>
      </c>
      <c r="AD73" s="321">
        <f t="shared" si="12"/>
        <v>0</v>
      </c>
      <c r="AE73" s="321">
        <f t="shared" si="12"/>
        <v>0</v>
      </c>
      <c r="AF73" s="321">
        <f t="shared" si="12"/>
        <v>0</v>
      </c>
      <c r="AG73" s="70">
        <f t="shared" si="14"/>
        <v>2201.3000000000002</v>
      </c>
      <c r="AH73" s="321">
        <f t="shared" si="15"/>
        <v>2201.3000000000002</v>
      </c>
      <c r="AI73" s="331">
        <f t="shared" si="16"/>
        <v>0</v>
      </c>
    </row>
    <row r="74" spans="1:35" ht="10.5">
      <c r="B74" s="4">
        <v>15028936</v>
      </c>
      <c r="C74" s="4"/>
      <c r="D74" s="1" t="s">
        <v>478</v>
      </c>
      <c r="E74" s="1" t="s">
        <v>478</v>
      </c>
      <c r="F74" s="181">
        <v>130.80000000000001</v>
      </c>
      <c r="G74" s="184">
        <v>46.63</v>
      </c>
      <c r="H74" s="229">
        <v>211.41</v>
      </c>
      <c r="I74" s="192">
        <v>61.5</v>
      </c>
      <c r="J74" s="195"/>
      <c r="K74" s="238"/>
      <c r="L74" s="306"/>
      <c r="M74" s="217">
        <f>-2.8+53.77</f>
        <v>50.970000000000006</v>
      </c>
      <c r="N74" s="217">
        <f>58.52-2.8</f>
        <v>55.720000000000006</v>
      </c>
      <c r="O74" s="220">
        <f>162+2.8</f>
        <v>164.8</v>
      </c>
      <c r="P74" s="304">
        <v>367.62</v>
      </c>
      <c r="Q74" s="172">
        <v>195.75</v>
      </c>
      <c r="R74" s="8">
        <f t="shared" si="17"/>
        <v>1285.2000000000003</v>
      </c>
      <c r="S74" s="1">
        <f t="shared" si="18"/>
        <v>9</v>
      </c>
      <c r="T74" s="31">
        <f t="shared" si="19"/>
        <v>142.80000000000004</v>
      </c>
      <c r="V74" s="321">
        <f t="shared" si="13"/>
        <v>0</v>
      </c>
      <c r="W74" s="321">
        <f t="shared" si="12"/>
        <v>0</v>
      </c>
      <c r="X74" s="321">
        <f t="shared" si="12"/>
        <v>0</v>
      </c>
      <c r="Y74" s="321">
        <f t="shared" si="12"/>
        <v>0</v>
      </c>
      <c r="Z74" s="321">
        <f t="shared" si="12"/>
        <v>0</v>
      </c>
      <c r="AA74" s="321">
        <f t="shared" si="12"/>
        <v>0</v>
      </c>
      <c r="AB74" s="321">
        <f t="shared" si="12"/>
        <v>0</v>
      </c>
      <c r="AC74" s="321">
        <f t="shared" si="12"/>
        <v>0</v>
      </c>
      <c r="AD74" s="321">
        <f t="shared" si="12"/>
        <v>0</v>
      </c>
      <c r="AE74" s="321">
        <f t="shared" si="12"/>
        <v>0</v>
      </c>
      <c r="AF74" s="321">
        <f t="shared" si="12"/>
        <v>834.86</v>
      </c>
      <c r="AG74" s="70">
        <f t="shared" si="14"/>
        <v>834.86</v>
      </c>
      <c r="AH74" s="321">
        <f t="shared" si="15"/>
        <v>834.86</v>
      </c>
      <c r="AI74" s="331">
        <f t="shared" si="16"/>
        <v>0</v>
      </c>
    </row>
    <row r="75" spans="1:35" ht="10.5">
      <c r="A75" s="1" t="s">
        <v>659</v>
      </c>
      <c r="B75" s="4">
        <v>15036180</v>
      </c>
      <c r="C75" s="4"/>
      <c r="D75" s="1" t="s">
        <v>626</v>
      </c>
      <c r="E75" s="1" t="s">
        <v>579</v>
      </c>
      <c r="F75" s="181">
        <v>8120.9</v>
      </c>
      <c r="G75" s="229">
        <v>4553.08</v>
      </c>
      <c r="H75" s="229">
        <v>4295.82</v>
      </c>
      <c r="I75" s="192">
        <v>9755.59</v>
      </c>
      <c r="J75" s="195">
        <v>3629.11</v>
      </c>
      <c r="K75" s="238">
        <v>2974.51</v>
      </c>
      <c r="L75" s="306">
        <v>2880.48</v>
      </c>
      <c r="M75" s="212">
        <v>3660.04</v>
      </c>
      <c r="N75" s="217">
        <v>6905.59</v>
      </c>
      <c r="O75" s="220">
        <v>9236.0400000000009</v>
      </c>
      <c r="P75" s="304">
        <v>6108.46</v>
      </c>
      <c r="Q75" s="172">
        <v>4876.72</v>
      </c>
      <c r="R75" s="8">
        <f t="shared" si="17"/>
        <v>66996.340000000011</v>
      </c>
      <c r="S75" s="1">
        <f t="shared" si="18"/>
        <v>12</v>
      </c>
      <c r="T75" s="31">
        <f t="shared" si="19"/>
        <v>5583.0283333333346</v>
      </c>
      <c r="V75" s="321">
        <f t="shared" si="13"/>
        <v>0</v>
      </c>
      <c r="W75" s="321">
        <f t="shared" si="12"/>
        <v>0</v>
      </c>
      <c r="X75" s="321">
        <f t="shared" si="12"/>
        <v>0</v>
      </c>
      <c r="Y75" s="321">
        <f t="shared" si="12"/>
        <v>0</v>
      </c>
      <c r="Z75" s="321">
        <f t="shared" si="12"/>
        <v>0</v>
      </c>
      <c r="AA75" s="321">
        <f t="shared" si="12"/>
        <v>0</v>
      </c>
      <c r="AB75" s="321">
        <f t="shared" si="12"/>
        <v>0</v>
      </c>
      <c r="AC75" s="321">
        <f t="shared" si="12"/>
        <v>33667.33</v>
      </c>
      <c r="AD75" s="321">
        <f t="shared" si="12"/>
        <v>0</v>
      </c>
      <c r="AE75" s="321">
        <f t="shared" si="12"/>
        <v>0</v>
      </c>
      <c r="AF75" s="321">
        <f t="shared" si="12"/>
        <v>0</v>
      </c>
      <c r="AG75" s="70">
        <f t="shared" si="14"/>
        <v>33667.33</v>
      </c>
      <c r="AH75" s="321">
        <f t="shared" si="15"/>
        <v>33667.33</v>
      </c>
      <c r="AI75" s="331">
        <f t="shared" si="16"/>
        <v>0</v>
      </c>
    </row>
    <row r="76" spans="1:35" ht="10.5">
      <c r="A76" s="1" t="s">
        <v>535</v>
      </c>
      <c r="B76" s="4">
        <v>7008901</v>
      </c>
      <c r="C76" s="4">
        <v>135</v>
      </c>
      <c r="D76" s="1" t="s">
        <v>268</v>
      </c>
      <c r="E76" s="1" t="s">
        <v>268</v>
      </c>
      <c r="F76" s="181">
        <v>7583.88</v>
      </c>
      <c r="G76" s="184">
        <v>4819.8</v>
      </c>
      <c r="H76" s="229">
        <v>5049.3599999999997</v>
      </c>
      <c r="I76" s="192">
        <v>7822.86</v>
      </c>
      <c r="J76" s="195">
        <v>3363.72</v>
      </c>
      <c r="K76" s="238">
        <v>1840.62</v>
      </c>
      <c r="L76" s="212">
        <v>2035.14</v>
      </c>
      <c r="M76" s="212">
        <v>2415.48</v>
      </c>
      <c r="N76" s="217">
        <v>3148.08</v>
      </c>
      <c r="O76" s="220">
        <v>5985.78</v>
      </c>
      <c r="P76" s="304">
        <v>4578.4799999999996</v>
      </c>
      <c r="Q76" s="172">
        <v>5070.96</v>
      </c>
      <c r="R76" s="8">
        <f t="shared" si="17"/>
        <v>53714.159999999996</v>
      </c>
      <c r="S76" s="1">
        <f t="shared" si="18"/>
        <v>12</v>
      </c>
      <c r="T76" s="31">
        <f t="shared" si="19"/>
        <v>4476.1799999999994</v>
      </c>
      <c r="V76" s="321">
        <f t="shared" si="13"/>
        <v>0</v>
      </c>
      <c r="W76" s="321">
        <f t="shared" si="12"/>
        <v>0</v>
      </c>
      <c r="X76" s="321">
        <f t="shared" si="12"/>
        <v>0</v>
      </c>
      <c r="Y76" s="321">
        <f t="shared" si="12"/>
        <v>0</v>
      </c>
      <c r="Z76" s="321">
        <f t="shared" si="12"/>
        <v>0</v>
      </c>
      <c r="AA76" s="321">
        <f t="shared" si="12"/>
        <v>23233.919999999998</v>
      </c>
      <c r="AB76" s="321">
        <f t="shared" si="12"/>
        <v>0</v>
      </c>
      <c r="AC76" s="321">
        <f t="shared" si="12"/>
        <v>0</v>
      </c>
      <c r="AD76" s="321">
        <f t="shared" si="12"/>
        <v>0</v>
      </c>
      <c r="AE76" s="321">
        <f t="shared" si="12"/>
        <v>0</v>
      </c>
      <c r="AF76" s="321">
        <f t="shared" si="12"/>
        <v>0</v>
      </c>
      <c r="AG76" s="70">
        <f t="shared" si="14"/>
        <v>23233.919999999998</v>
      </c>
      <c r="AH76" s="321">
        <f t="shared" si="15"/>
        <v>23233.919999999998</v>
      </c>
      <c r="AI76" s="331">
        <f t="shared" si="16"/>
        <v>0</v>
      </c>
    </row>
    <row r="77" spans="1:35" ht="10.5">
      <c r="B77" s="4">
        <v>15020408</v>
      </c>
      <c r="C77" s="4"/>
      <c r="D77" s="1" t="s">
        <v>367</v>
      </c>
      <c r="E77" s="1" t="s">
        <v>367</v>
      </c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8">
        <f t="shared" si="17"/>
        <v>0</v>
      </c>
      <c r="S77" s="1">
        <f t="shared" si="18"/>
        <v>0</v>
      </c>
      <c r="T77" s="31">
        <f t="shared" si="19"/>
        <v>0</v>
      </c>
      <c r="V77" s="321">
        <f t="shared" si="13"/>
        <v>0</v>
      </c>
      <c r="W77" s="321">
        <f t="shared" si="12"/>
        <v>0</v>
      </c>
      <c r="X77" s="321">
        <f t="shared" si="12"/>
        <v>0</v>
      </c>
      <c r="Y77" s="321">
        <f t="shared" si="12"/>
        <v>0</v>
      </c>
      <c r="Z77" s="321">
        <f t="shared" si="12"/>
        <v>0</v>
      </c>
      <c r="AA77" s="321">
        <f t="shared" si="12"/>
        <v>0</v>
      </c>
      <c r="AB77" s="321">
        <f t="shared" si="12"/>
        <v>0</v>
      </c>
      <c r="AC77" s="321">
        <f t="shared" si="12"/>
        <v>0</v>
      </c>
      <c r="AD77" s="321">
        <f t="shared" si="12"/>
        <v>0</v>
      </c>
      <c r="AE77" s="321">
        <f t="shared" si="12"/>
        <v>0</v>
      </c>
      <c r="AF77" s="321">
        <f t="shared" si="12"/>
        <v>0</v>
      </c>
      <c r="AG77" s="70">
        <f t="shared" si="14"/>
        <v>0</v>
      </c>
      <c r="AH77" s="321">
        <f t="shared" si="15"/>
        <v>0</v>
      </c>
      <c r="AI77" s="331">
        <f t="shared" si="16"/>
        <v>0</v>
      </c>
    </row>
    <row r="78" spans="1:35" ht="10.5">
      <c r="A78" s="1" t="s">
        <v>662</v>
      </c>
      <c r="B78" s="4">
        <v>7001502</v>
      </c>
      <c r="C78" s="4">
        <v>128</v>
      </c>
      <c r="D78" s="1" t="s">
        <v>650</v>
      </c>
      <c r="E78" s="1" t="s">
        <v>270</v>
      </c>
      <c r="F78" s="181">
        <v>11419.83</v>
      </c>
      <c r="G78" s="184">
        <v>8833.14</v>
      </c>
      <c r="H78" s="229">
        <v>8689.06</v>
      </c>
      <c r="I78" s="192">
        <v>13993.88</v>
      </c>
      <c r="J78" s="195">
        <v>6376.79</v>
      </c>
      <c r="K78" s="238">
        <v>5058.07</v>
      </c>
      <c r="L78" s="306">
        <v>5070.76</v>
      </c>
      <c r="M78" s="212">
        <v>5645.09</v>
      </c>
      <c r="N78" s="217">
        <v>8313.1</v>
      </c>
      <c r="O78" s="220">
        <v>12481.14</v>
      </c>
      <c r="P78" s="304">
        <v>12074.87</v>
      </c>
      <c r="Q78" s="181">
        <v>11055</v>
      </c>
      <c r="R78" s="8">
        <f t="shared" si="17"/>
        <v>109010.73</v>
      </c>
      <c r="S78" s="1">
        <f t="shared" si="18"/>
        <v>12</v>
      </c>
      <c r="T78" s="31">
        <f t="shared" si="19"/>
        <v>9084.2274999999991</v>
      </c>
      <c r="V78" s="321">
        <f t="shared" si="13"/>
        <v>0</v>
      </c>
      <c r="W78" s="321">
        <f t="shared" si="12"/>
        <v>0</v>
      </c>
      <c r="X78" s="321">
        <f t="shared" si="12"/>
        <v>0</v>
      </c>
      <c r="Y78" s="321">
        <f t="shared" si="12"/>
        <v>0</v>
      </c>
      <c r="Z78" s="321">
        <f t="shared" si="12"/>
        <v>54639.96</v>
      </c>
      <c r="AA78" s="321">
        <f t="shared" si="12"/>
        <v>0</v>
      </c>
      <c r="AB78" s="321">
        <f t="shared" si="12"/>
        <v>0</v>
      </c>
      <c r="AC78" s="321">
        <f t="shared" si="12"/>
        <v>0</v>
      </c>
      <c r="AD78" s="321">
        <f t="shared" si="12"/>
        <v>0</v>
      </c>
      <c r="AE78" s="321">
        <f t="shared" si="12"/>
        <v>0</v>
      </c>
      <c r="AF78" s="321">
        <f t="shared" si="12"/>
        <v>0</v>
      </c>
      <c r="AG78" s="70">
        <f t="shared" si="14"/>
        <v>54639.96</v>
      </c>
      <c r="AH78" s="321">
        <f t="shared" si="15"/>
        <v>54639.96</v>
      </c>
      <c r="AI78" s="331">
        <f t="shared" si="16"/>
        <v>0</v>
      </c>
    </row>
    <row r="79" spans="1:35" ht="10.5">
      <c r="A79" s="1" t="s">
        <v>662</v>
      </c>
      <c r="B79" s="4">
        <v>15038477</v>
      </c>
      <c r="C79" s="4"/>
      <c r="D79" s="1" t="s">
        <v>479</v>
      </c>
      <c r="E79" s="1" t="s">
        <v>479</v>
      </c>
      <c r="F79" s="181">
        <v>8860.76</v>
      </c>
      <c r="G79" s="184">
        <v>7329.45</v>
      </c>
      <c r="H79" s="229">
        <v>6785.05</v>
      </c>
      <c r="I79" s="192">
        <v>11103.45</v>
      </c>
      <c r="J79" s="195">
        <v>8411.08</v>
      </c>
      <c r="K79" s="238">
        <v>7667.53</v>
      </c>
      <c r="L79" s="306">
        <v>4060.12</v>
      </c>
      <c r="M79" s="212">
        <v>4574.22</v>
      </c>
      <c r="N79" s="217">
        <v>5911.5</v>
      </c>
      <c r="O79" s="220">
        <v>7599.79</v>
      </c>
      <c r="P79" s="304">
        <v>6874.38</v>
      </c>
      <c r="Q79" s="172">
        <v>5101.1899999999996</v>
      </c>
      <c r="R79" s="8">
        <f t="shared" si="17"/>
        <v>84278.52</v>
      </c>
      <c r="S79" s="1">
        <f t="shared" si="18"/>
        <v>12</v>
      </c>
      <c r="T79" s="31">
        <f t="shared" si="19"/>
        <v>7023.21</v>
      </c>
      <c r="V79" s="321">
        <f t="shared" si="13"/>
        <v>0</v>
      </c>
      <c r="W79" s="321">
        <f t="shared" si="12"/>
        <v>0</v>
      </c>
      <c r="X79" s="321">
        <f t="shared" si="12"/>
        <v>0</v>
      </c>
      <c r="Y79" s="321">
        <f t="shared" si="12"/>
        <v>0</v>
      </c>
      <c r="Z79" s="321">
        <f t="shared" si="12"/>
        <v>34121.200000000004</v>
      </c>
      <c r="AA79" s="321">
        <f t="shared" si="12"/>
        <v>0</v>
      </c>
      <c r="AB79" s="321">
        <f t="shared" si="12"/>
        <v>0</v>
      </c>
      <c r="AC79" s="321">
        <f t="shared" si="12"/>
        <v>0</v>
      </c>
      <c r="AD79" s="321">
        <f t="shared" si="12"/>
        <v>0</v>
      </c>
      <c r="AE79" s="321">
        <f t="shared" si="12"/>
        <v>0</v>
      </c>
      <c r="AF79" s="321">
        <f t="shared" si="12"/>
        <v>0</v>
      </c>
      <c r="AG79" s="70">
        <f t="shared" si="14"/>
        <v>34121.200000000004</v>
      </c>
      <c r="AH79" s="321">
        <f t="shared" si="15"/>
        <v>34121.200000000004</v>
      </c>
      <c r="AI79" s="331">
        <f t="shared" si="16"/>
        <v>0</v>
      </c>
    </row>
    <row r="80" spans="1:35" ht="10.5">
      <c r="A80" s="1" t="s">
        <v>658</v>
      </c>
      <c r="B80" s="4">
        <v>15013110</v>
      </c>
      <c r="C80" s="4"/>
      <c r="D80" s="1" t="s">
        <v>480</v>
      </c>
      <c r="E80" s="1" t="s">
        <v>480</v>
      </c>
      <c r="F80" s="297"/>
      <c r="G80" s="297"/>
      <c r="H80" s="297"/>
      <c r="I80" s="297"/>
      <c r="J80" s="297"/>
      <c r="K80" s="297"/>
      <c r="L80" s="297"/>
      <c r="M80" s="297"/>
      <c r="N80" s="297"/>
      <c r="O80" s="297"/>
      <c r="P80" s="297"/>
      <c r="Q80" s="297"/>
      <c r="R80" s="8">
        <f t="shared" si="17"/>
        <v>0</v>
      </c>
      <c r="S80" s="1">
        <f t="shared" si="18"/>
        <v>0</v>
      </c>
      <c r="T80" s="31">
        <f t="shared" si="19"/>
        <v>0</v>
      </c>
      <c r="V80" s="321">
        <f t="shared" si="13"/>
        <v>0</v>
      </c>
      <c r="W80" s="321">
        <f t="shared" si="12"/>
        <v>0</v>
      </c>
      <c r="X80" s="321">
        <f t="shared" si="12"/>
        <v>0</v>
      </c>
      <c r="Y80" s="321">
        <f t="shared" si="12"/>
        <v>0</v>
      </c>
      <c r="Z80" s="321">
        <f t="shared" si="12"/>
        <v>0</v>
      </c>
      <c r="AA80" s="321">
        <f t="shared" si="12"/>
        <v>0</v>
      </c>
      <c r="AB80" s="321">
        <f t="shared" si="12"/>
        <v>0</v>
      </c>
      <c r="AC80" s="321">
        <f t="shared" si="12"/>
        <v>0</v>
      </c>
      <c r="AD80" s="321">
        <f t="shared" si="12"/>
        <v>0</v>
      </c>
      <c r="AE80" s="321">
        <f t="shared" si="12"/>
        <v>0</v>
      </c>
      <c r="AF80" s="321">
        <f t="shared" si="12"/>
        <v>0</v>
      </c>
      <c r="AG80" s="70">
        <f t="shared" si="14"/>
        <v>0</v>
      </c>
      <c r="AH80" s="321">
        <f t="shared" si="15"/>
        <v>0</v>
      </c>
      <c r="AI80" s="331">
        <f t="shared" si="16"/>
        <v>0</v>
      </c>
    </row>
    <row r="81" spans="1:35" ht="10.5">
      <c r="A81" s="1" t="s">
        <v>658</v>
      </c>
      <c r="B81" s="4">
        <v>15038477</v>
      </c>
      <c r="C81" s="4"/>
      <c r="D81" s="1" t="s">
        <v>480</v>
      </c>
      <c r="E81" s="1" t="s">
        <v>480</v>
      </c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  <c r="R81" s="8">
        <f t="shared" si="17"/>
        <v>0</v>
      </c>
      <c r="S81" s="1">
        <f t="shared" si="18"/>
        <v>0</v>
      </c>
      <c r="T81" s="31">
        <f t="shared" si="19"/>
        <v>0</v>
      </c>
      <c r="V81" s="321">
        <f t="shared" si="13"/>
        <v>0</v>
      </c>
      <c r="W81" s="321">
        <f t="shared" si="12"/>
        <v>0</v>
      </c>
      <c r="X81" s="321">
        <f t="shared" si="12"/>
        <v>0</v>
      </c>
      <c r="Y81" s="321">
        <f t="shared" si="12"/>
        <v>0</v>
      </c>
      <c r="Z81" s="321">
        <f t="shared" si="12"/>
        <v>0</v>
      </c>
      <c r="AA81" s="321">
        <f t="shared" si="12"/>
        <v>0</v>
      </c>
      <c r="AB81" s="321">
        <f t="shared" si="12"/>
        <v>0</v>
      </c>
      <c r="AC81" s="321">
        <f t="shared" si="12"/>
        <v>0</v>
      </c>
      <c r="AD81" s="321">
        <f t="shared" si="12"/>
        <v>0</v>
      </c>
      <c r="AE81" s="321">
        <f t="shared" si="12"/>
        <v>0</v>
      </c>
      <c r="AF81" s="321">
        <f t="shared" si="12"/>
        <v>0</v>
      </c>
      <c r="AG81" s="70">
        <f t="shared" si="14"/>
        <v>0</v>
      </c>
      <c r="AH81" s="321">
        <f t="shared" si="15"/>
        <v>0</v>
      </c>
      <c r="AI81" s="331">
        <f t="shared" si="16"/>
        <v>0</v>
      </c>
    </row>
    <row r="82" spans="1:35" ht="10.5">
      <c r="A82" s="1" t="s">
        <v>658</v>
      </c>
      <c r="B82" s="4">
        <v>15051247</v>
      </c>
      <c r="C82" s="4"/>
      <c r="D82" s="1" t="s">
        <v>480</v>
      </c>
      <c r="E82" s="1" t="s">
        <v>480</v>
      </c>
      <c r="F82" s="181">
        <v>11615.9</v>
      </c>
      <c r="G82" s="184">
        <v>10279.27</v>
      </c>
      <c r="H82" s="229">
        <v>9911.86</v>
      </c>
      <c r="I82" s="192">
        <v>12735.35</v>
      </c>
      <c r="J82" s="195">
        <v>5081.24</v>
      </c>
      <c r="K82" s="238">
        <v>3965.35</v>
      </c>
      <c r="L82" s="306">
        <v>8881.82</v>
      </c>
      <c r="M82" s="212">
        <v>8355.18</v>
      </c>
      <c r="N82" s="217">
        <v>9682.35</v>
      </c>
      <c r="O82" s="220">
        <v>10681.63</v>
      </c>
      <c r="P82" s="304">
        <v>9282.2900000000009</v>
      </c>
      <c r="Q82" s="172">
        <v>8754.8700000000008</v>
      </c>
      <c r="R82" s="8">
        <f t="shared" si="17"/>
        <v>109227.11000000002</v>
      </c>
      <c r="S82" s="1">
        <f t="shared" si="18"/>
        <v>12</v>
      </c>
      <c r="T82" s="31">
        <f t="shared" si="19"/>
        <v>9102.2591666666685</v>
      </c>
      <c r="V82" s="321">
        <f t="shared" si="13"/>
        <v>0</v>
      </c>
      <c r="W82" s="321">
        <f t="shared" si="12"/>
        <v>0</v>
      </c>
      <c r="X82" s="321">
        <f t="shared" si="12"/>
        <v>0</v>
      </c>
      <c r="Y82" s="321">
        <f t="shared" si="12"/>
        <v>0</v>
      </c>
      <c r="Z82" s="321">
        <f t="shared" si="12"/>
        <v>0</v>
      </c>
      <c r="AA82" s="321">
        <f t="shared" si="12"/>
        <v>0</v>
      </c>
      <c r="AB82" s="321">
        <f t="shared" si="12"/>
        <v>0</v>
      </c>
      <c r="AC82" s="321">
        <f t="shared" si="12"/>
        <v>0</v>
      </c>
      <c r="AD82" s="321">
        <f t="shared" si="12"/>
        <v>55638.14</v>
      </c>
      <c r="AE82" s="321">
        <f t="shared" si="12"/>
        <v>0</v>
      </c>
      <c r="AF82" s="321">
        <f t="shared" si="12"/>
        <v>0</v>
      </c>
      <c r="AG82" s="70">
        <f t="shared" si="14"/>
        <v>55638.14</v>
      </c>
      <c r="AH82" s="321">
        <f t="shared" si="15"/>
        <v>55638.14</v>
      </c>
      <c r="AI82" s="331">
        <f t="shared" si="16"/>
        <v>0</v>
      </c>
    </row>
    <row r="83" spans="1:35" ht="10.5">
      <c r="B83" s="42">
        <v>15012310</v>
      </c>
      <c r="C83" s="42"/>
      <c r="D83" s="11" t="s">
        <v>603</v>
      </c>
      <c r="E83" s="11" t="s">
        <v>666</v>
      </c>
      <c r="F83" s="181">
        <f>191.1+221.16+113.4+100.8+177.58</f>
        <v>804.04</v>
      </c>
      <c r="G83" s="184">
        <v>128.04</v>
      </c>
      <c r="H83" s="229">
        <v>105.51</v>
      </c>
      <c r="I83" s="192">
        <v>195.88</v>
      </c>
      <c r="J83" s="195">
        <f>119.64+64.02</f>
        <v>183.66</v>
      </c>
      <c r="K83" s="238">
        <v>88.02</v>
      </c>
      <c r="L83" s="306"/>
      <c r="M83" s="304">
        <v>135.29</v>
      </c>
      <c r="N83" s="217"/>
      <c r="O83" s="304">
        <v>222.84</v>
      </c>
      <c r="P83" s="304">
        <v>17.13</v>
      </c>
      <c r="Q83" s="172"/>
      <c r="R83" s="8">
        <f t="shared" si="17"/>
        <v>1880.4099999999999</v>
      </c>
      <c r="S83" s="1">
        <f t="shared" si="18"/>
        <v>9</v>
      </c>
      <c r="T83" s="31">
        <f t="shared" si="19"/>
        <v>208.93444444444444</v>
      </c>
      <c r="V83" s="321">
        <f t="shared" si="13"/>
        <v>0</v>
      </c>
      <c r="W83" s="321">
        <f t="shared" si="12"/>
        <v>0</v>
      </c>
      <c r="X83" s="321">
        <f t="shared" si="12"/>
        <v>0</v>
      </c>
      <c r="Y83" s="321">
        <f t="shared" si="12"/>
        <v>0</v>
      </c>
      <c r="Z83" s="321">
        <f t="shared" si="12"/>
        <v>0</v>
      </c>
      <c r="AA83" s="321">
        <f t="shared" si="12"/>
        <v>0</v>
      </c>
      <c r="AB83" s="321">
        <f t="shared" si="12"/>
        <v>0</v>
      </c>
      <c r="AC83" s="321">
        <f t="shared" ref="W83:AF109" si="20">+IF($A83=AC$1,SUM($L83:$Q83),0)</f>
        <v>0</v>
      </c>
      <c r="AD83" s="321">
        <f t="shared" si="20"/>
        <v>0</v>
      </c>
      <c r="AE83" s="321">
        <f t="shared" si="20"/>
        <v>0</v>
      </c>
      <c r="AF83" s="321">
        <f t="shared" si="20"/>
        <v>375.26</v>
      </c>
      <c r="AG83" s="70">
        <f t="shared" si="14"/>
        <v>375.26</v>
      </c>
      <c r="AH83" s="321">
        <f t="shared" si="15"/>
        <v>375.26</v>
      </c>
      <c r="AI83" s="331">
        <f t="shared" si="16"/>
        <v>0</v>
      </c>
    </row>
    <row r="84" spans="1:35" ht="10.5">
      <c r="B84" s="42">
        <v>15051241</v>
      </c>
      <c r="C84" s="42"/>
      <c r="D84" s="11" t="s">
        <v>603</v>
      </c>
      <c r="E84" s="11" t="s">
        <v>666</v>
      </c>
      <c r="F84" s="180"/>
      <c r="G84" s="185"/>
      <c r="H84" s="233"/>
      <c r="I84" s="193"/>
      <c r="J84" s="196"/>
      <c r="K84" s="240"/>
      <c r="L84" s="306">
        <v>22.32</v>
      </c>
      <c r="M84" s="212">
        <v>22.95</v>
      </c>
      <c r="N84" s="217">
        <v>87.38</v>
      </c>
      <c r="O84" s="220">
        <v>122.97</v>
      </c>
      <c r="P84" s="32"/>
      <c r="Q84" s="172"/>
      <c r="R84" s="8">
        <f>+SUM(F84:Q84)</f>
        <v>255.61999999999998</v>
      </c>
      <c r="S84" s="1">
        <f>COUNT(F84:Q84)</f>
        <v>4</v>
      </c>
      <c r="T84" s="31">
        <f>+IF(R84=0,0,R84/S84)</f>
        <v>63.904999999999994</v>
      </c>
      <c r="V84" s="321">
        <f t="shared" si="13"/>
        <v>0</v>
      </c>
      <c r="W84" s="321">
        <f t="shared" si="20"/>
        <v>0</v>
      </c>
      <c r="X84" s="321">
        <f t="shared" si="20"/>
        <v>0</v>
      </c>
      <c r="Y84" s="321">
        <f t="shared" si="20"/>
        <v>0</v>
      </c>
      <c r="Z84" s="321">
        <f t="shared" si="20"/>
        <v>0</v>
      </c>
      <c r="AA84" s="321">
        <f t="shared" si="20"/>
        <v>0</v>
      </c>
      <c r="AB84" s="321">
        <f t="shared" si="20"/>
        <v>0</v>
      </c>
      <c r="AC84" s="321">
        <f t="shared" si="20"/>
        <v>0</v>
      </c>
      <c r="AD84" s="321">
        <f t="shared" si="20"/>
        <v>0</v>
      </c>
      <c r="AE84" s="321">
        <f t="shared" si="20"/>
        <v>0</v>
      </c>
      <c r="AF84" s="321">
        <f t="shared" si="20"/>
        <v>255.61999999999998</v>
      </c>
      <c r="AG84" s="70">
        <f t="shared" si="14"/>
        <v>255.61999999999998</v>
      </c>
      <c r="AH84" s="321">
        <f t="shared" si="15"/>
        <v>255.61999999999998</v>
      </c>
      <c r="AI84" s="331">
        <f t="shared" si="16"/>
        <v>0</v>
      </c>
    </row>
    <row r="85" spans="1:35" ht="10.5">
      <c r="B85" s="42">
        <v>15051369</v>
      </c>
      <c r="C85" s="42"/>
      <c r="D85" s="11" t="s">
        <v>603</v>
      </c>
      <c r="E85" s="11" t="s">
        <v>666</v>
      </c>
      <c r="F85" s="180"/>
      <c r="G85" s="185"/>
      <c r="H85" s="233"/>
      <c r="I85" s="193"/>
      <c r="J85" s="196"/>
      <c r="K85" s="240"/>
      <c r="L85" s="307"/>
      <c r="M85" s="211"/>
      <c r="N85" s="217">
        <v>87.38</v>
      </c>
      <c r="O85" s="220">
        <v>419.01</v>
      </c>
      <c r="P85" s="304">
        <v>110.31</v>
      </c>
      <c r="Q85" s="172">
        <v>161.49</v>
      </c>
      <c r="R85" s="8">
        <f>+SUM(F85:Q85)</f>
        <v>778.19</v>
      </c>
      <c r="S85" s="1">
        <f>COUNT(F85:Q85)</f>
        <v>4</v>
      </c>
      <c r="T85" s="31">
        <f>+IF(R85=0,0,R85/S85)</f>
        <v>194.54750000000001</v>
      </c>
      <c r="V85" s="321">
        <f t="shared" si="13"/>
        <v>0</v>
      </c>
      <c r="W85" s="321">
        <f t="shared" si="20"/>
        <v>0</v>
      </c>
      <c r="X85" s="321">
        <f t="shared" si="20"/>
        <v>0</v>
      </c>
      <c r="Y85" s="321">
        <f t="shared" si="20"/>
        <v>0</v>
      </c>
      <c r="Z85" s="321">
        <f t="shared" si="20"/>
        <v>0</v>
      </c>
      <c r="AA85" s="321">
        <f t="shared" si="20"/>
        <v>0</v>
      </c>
      <c r="AB85" s="321">
        <f t="shared" si="20"/>
        <v>0</v>
      </c>
      <c r="AC85" s="321">
        <f t="shared" si="20"/>
        <v>0</v>
      </c>
      <c r="AD85" s="321">
        <f t="shared" si="20"/>
        <v>0</v>
      </c>
      <c r="AE85" s="321">
        <f t="shared" si="20"/>
        <v>0</v>
      </c>
      <c r="AF85" s="321">
        <f t="shared" si="20"/>
        <v>778.19</v>
      </c>
      <c r="AG85" s="70">
        <f t="shared" si="14"/>
        <v>778.19</v>
      </c>
      <c r="AH85" s="321">
        <f t="shared" si="15"/>
        <v>778.19</v>
      </c>
      <c r="AI85" s="331">
        <f t="shared" si="16"/>
        <v>0</v>
      </c>
    </row>
    <row r="86" spans="1:35" ht="10.5">
      <c r="A86" s="1" t="s">
        <v>530</v>
      </c>
      <c r="B86" s="4">
        <v>15051245</v>
      </c>
      <c r="C86" s="4"/>
      <c r="E86" s="1" t="s">
        <v>630</v>
      </c>
      <c r="F86" s="181">
        <v>18566.36</v>
      </c>
      <c r="G86" s="184">
        <v>17158.41</v>
      </c>
      <c r="H86" s="229">
        <v>16593.82</v>
      </c>
      <c r="I86" s="192">
        <v>30989.49</v>
      </c>
      <c r="J86" s="195">
        <v>13423.02</v>
      </c>
      <c r="K86" s="238">
        <v>8743.7800000000007</v>
      </c>
      <c r="L86" s="32"/>
      <c r="M86" s="212">
        <v>8205.84</v>
      </c>
      <c r="N86" s="217">
        <v>10877.82</v>
      </c>
      <c r="O86" s="220">
        <v>15732.66</v>
      </c>
      <c r="P86" s="304">
        <v>17108.46</v>
      </c>
      <c r="Q86" s="172">
        <v>15918.24</v>
      </c>
      <c r="R86" s="8">
        <f>+SUM(F86:Q86)</f>
        <v>173317.9</v>
      </c>
      <c r="S86" s="1">
        <f>COUNT(F86:Q86)</f>
        <v>11</v>
      </c>
      <c r="T86" s="31">
        <f>+IF(R86=0,0,R86/S86)</f>
        <v>15756.172727272728</v>
      </c>
      <c r="V86" s="321">
        <f t="shared" si="13"/>
        <v>0</v>
      </c>
      <c r="W86" s="321">
        <f t="shared" si="20"/>
        <v>0</v>
      </c>
      <c r="X86" s="321">
        <f t="shared" si="20"/>
        <v>0</v>
      </c>
      <c r="Y86" s="321">
        <f t="shared" si="20"/>
        <v>67843.02</v>
      </c>
      <c r="Z86" s="321">
        <f t="shared" si="20"/>
        <v>0</v>
      </c>
      <c r="AA86" s="321">
        <f t="shared" si="20"/>
        <v>0</v>
      </c>
      <c r="AB86" s="321">
        <f t="shared" si="20"/>
        <v>0</v>
      </c>
      <c r="AC86" s="321">
        <f t="shared" si="20"/>
        <v>0</v>
      </c>
      <c r="AD86" s="321">
        <f t="shared" si="20"/>
        <v>0</v>
      </c>
      <c r="AE86" s="321">
        <f t="shared" si="20"/>
        <v>0</v>
      </c>
      <c r="AF86" s="321">
        <f t="shared" si="20"/>
        <v>0</v>
      </c>
      <c r="AG86" s="70">
        <f t="shared" si="14"/>
        <v>67843.02</v>
      </c>
      <c r="AH86" s="321">
        <f t="shared" si="15"/>
        <v>67843.02</v>
      </c>
      <c r="AI86" s="331">
        <f t="shared" si="16"/>
        <v>0</v>
      </c>
    </row>
    <row r="87" spans="1:35" ht="10.5">
      <c r="A87" s="1" t="s">
        <v>535</v>
      </c>
      <c r="B87" s="4">
        <v>7004001</v>
      </c>
      <c r="C87" s="4">
        <v>116</v>
      </c>
      <c r="D87" s="1" t="s">
        <v>631</v>
      </c>
      <c r="E87" s="1" t="s">
        <v>277</v>
      </c>
      <c r="F87" s="181">
        <v>16514.13</v>
      </c>
      <c r="G87" s="184">
        <v>16158.43</v>
      </c>
      <c r="H87" s="229">
        <f>297.74+13830.58</f>
        <v>14128.32</v>
      </c>
      <c r="I87" s="192">
        <v>19846.28</v>
      </c>
      <c r="J87" s="195">
        <f>11957.76+23.14</f>
        <v>11980.9</v>
      </c>
      <c r="K87" s="238">
        <f>7734.91+56.36</f>
        <v>7791.2699999999995</v>
      </c>
      <c r="L87" s="306">
        <v>8912.35</v>
      </c>
      <c r="M87" s="212">
        <v>10520.56</v>
      </c>
      <c r="N87" s="217">
        <v>12295</v>
      </c>
      <c r="O87" s="220">
        <v>14705.04</v>
      </c>
      <c r="P87" s="304">
        <v>17563.95</v>
      </c>
      <c r="Q87" s="172">
        <v>14672.14</v>
      </c>
      <c r="R87" s="8">
        <f>+SUM(F87:Q87)</f>
        <v>165088.37</v>
      </c>
      <c r="S87" s="1">
        <f>COUNT(F87:Q87)</f>
        <v>12</v>
      </c>
      <c r="T87" s="31">
        <f>+IF(R87=0,0,R87/S87)</f>
        <v>13757.364166666666</v>
      </c>
      <c r="V87" s="321">
        <f t="shared" si="13"/>
        <v>0</v>
      </c>
      <c r="W87" s="321">
        <f t="shared" si="20"/>
        <v>0</v>
      </c>
      <c r="X87" s="321">
        <f t="shared" si="20"/>
        <v>0</v>
      </c>
      <c r="Y87" s="321">
        <f t="shared" si="20"/>
        <v>0</v>
      </c>
      <c r="Z87" s="321">
        <f t="shared" si="20"/>
        <v>0</v>
      </c>
      <c r="AA87" s="321">
        <f t="shared" si="20"/>
        <v>78669.039999999994</v>
      </c>
      <c r="AB87" s="321">
        <f t="shared" si="20"/>
        <v>0</v>
      </c>
      <c r="AC87" s="321">
        <f t="shared" si="20"/>
        <v>0</v>
      </c>
      <c r="AD87" s="321">
        <f t="shared" si="20"/>
        <v>0</v>
      </c>
      <c r="AE87" s="321">
        <f t="shared" si="20"/>
        <v>0</v>
      </c>
      <c r="AF87" s="321">
        <f t="shared" si="20"/>
        <v>0</v>
      </c>
      <c r="AG87" s="70">
        <f t="shared" si="14"/>
        <v>78669.039999999994</v>
      </c>
      <c r="AH87" s="321">
        <f t="shared" si="15"/>
        <v>78669.039999999994</v>
      </c>
      <c r="AI87" s="331">
        <f t="shared" si="16"/>
        <v>0</v>
      </c>
    </row>
    <row r="88" spans="1:35" ht="10.5">
      <c r="A88" s="1" t="s">
        <v>537</v>
      </c>
      <c r="B88" s="4">
        <v>15036831</v>
      </c>
      <c r="C88" s="4"/>
      <c r="D88" s="1" t="s">
        <v>364</v>
      </c>
      <c r="E88" s="1" t="s">
        <v>364</v>
      </c>
      <c r="F88" s="181">
        <v>20852.189999999999</v>
      </c>
      <c r="G88" s="184">
        <v>16691.349999999999</v>
      </c>
      <c r="H88" s="229">
        <v>19865.38</v>
      </c>
      <c r="I88" s="192">
        <v>30171.59</v>
      </c>
      <c r="J88" s="195">
        <v>16842.84</v>
      </c>
      <c r="K88" s="238">
        <v>13471.38</v>
      </c>
      <c r="L88" s="306">
        <v>14041.83</v>
      </c>
      <c r="M88" s="212">
        <v>14890.68</v>
      </c>
      <c r="N88" s="217">
        <v>17223.48</v>
      </c>
      <c r="O88" s="220">
        <v>22652.67</v>
      </c>
      <c r="P88" s="304">
        <v>22234.51</v>
      </c>
      <c r="Q88" s="172">
        <v>19517.66</v>
      </c>
      <c r="R88" s="8">
        <f>+SUM(F88:Q88)</f>
        <v>228455.56000000003</v>
      </c>
      <c r="S88" s="1">
        <f>COUNT(F88:Q88)</f>
        <v>12</v>
      </c>
      <c r="T88" s="31">
        <f>+IF(R88=0,0,R88/S88)</f>
        <v>19037.963333333337</v>
      </c>
      <c r="V88" s="321">
        <f t="shared" si="13"/>
        <v>0</v>
      </c>
      <c r="W88" s="321">
        <f t="shared" si="20"/>
        <v>110560.83</v>
      </c>
      <c r="X88" s="321">
        <f t="shared" si="20"/>
        <v>0</v>
      </c>
      <c r="Y88" s="321">
        <f t="shared" si="20"/>
        <v>0</v>
      </c>
      <c r="Z88" s="321">
        <f t="shared" si="20"/>
        <v>0</v>
      </c>
      <c r="AA88" s="321">
        <f t="shared" si="20"/>
        <v>0</v>
      </c>
      <c r="AB88" s="321">
        <f t="shared" si="20"/>
        <v>0</v>
      </c>
      <c r="AC88" s="321">
        <f t="shared" si="20"/>
        <v>0</v>
      </c>
      <c r="AD88" s="321">
        <f t="shared" si="20"/>
        <v>0</v>
      </c>
      <c r="AE88" s="321">
        <f t="shared" si="20"/>
        <v>0</v>
      </c>
      <c r="AF88" s="321">
        <f t="shared" si="20"/>
        <v>0</v>
      </c>
      <c r="AG88" s="70">
        <f t="shared" si="14"/>
        <v>110560.83</v>
      </c>
      <c r="AH88" s="321">
        <f t="shared" si="15"/>
        <v>110560.83</v>
      </c>
      <c r="AI88" s="331">
        <f t="shared" si="16"/>
        <v>0</v>
      </c>
    </row>
    <row r="89" spans="1:35" ht="10.5">
      <c r="A89" s="1" t="s">
        <v>530</v>
      </c>
      <c r="B89" s="4">
        <v>15036315</v>
      </c>
      <c r="C89" s="4">
        <v>556</v>
      </c>
      <c r="D89" s="1" t="s">
        <v>90</v>
      </c>
      <c r="E89" s="1" t="s">
        <v>90</v>
      </c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8">
        <f t="shared" ref="R89:R110" si="21">+SUM(F89:Q89)</f>
        <v>0</v>
      </c>
      <c r="S89" s="1">
        <f t="shared" ref="S89:S110" si="22">COUNT(F89:Q89)</f>
        <v>0</v>
      </c>
      <c r="T89" s="31">
        <f t="shared" ref="T89:T110" si="23">+IF(R89=0,0,R89/S89)</f>
        <v>0</v>
      </c>
      <c r="V89" s="321">
        <f t="shared" si="13"/>
        <v>0</v>
      </c>
      <c r="W89" s="321">
        <f t="shared" si="20"/>
        <v>0</v>
      </c>
      <c r="X89" s="321">
        <f t="shared" si="20"/>
        <v>0</v>
      </c>
      <c r="Y89" s="321">
        <f t="shared" si="20"/>
        <v>0</v>
      </c>
      <c r="Z89" s="321">
        <f t="shared" si="20"/>
        <v>0</v>
      </c>
      <c r="AA89" s="321">
        <f t="shared" si="20"/>
        <v>0</v>
      </c>
      <c r="AB89" s="321">
        <f t="shared" si="20"/>
        <v>0</v>
      </c>
      <c r="AC89" s="321">
        <f t="shared" si="20"/>
        <v>0</v>
      </c>
      <c r="AD89" s="321">
        <f t="shared" si="20"/>
        <v>0</v>
      </c>
      <c r="AE89" s="321">
        <f t="shared" si="20"/>
        <v>0</v>
      </c>
      <c r="AF89" s="321">
        <f t="shared" si="20"/>
        <v>0</v>
      </c>
      <c r="AG89" s="70">
        <f t="shared" si="14"/>
        <v>0</v>
      </c>
      <c r="AH89" s="321">
        <f t="shared" si="15"/>
        <v>0</v>
      </c>
      <c r="AI89" s="331">
        <f t="shared" si="16"/>
        <v>0</v>
      </c>
    </row>
    <row r="90" spans="1:35" ht="10.5">
      <c r="B90" s="4">
        <v>13236300</v>
      </c>
      <c r="C90" s="4"/>
      <c r="D90" s="1" t="s">
        <v>514</v>
      </c>
      <c r="E90" s="1" t="s">
        <v>514</v>
      </c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8">
        <f t="shared" si="21"/>
        <v>0</v>
      </c>
      <c r="S90" s="1">
        <f t="shared" si="22"/>
        <v>0</v>
      </c>
      <c r="T90" s="31">
        <f t="shared" si="23"/>
        <v>0</v>
      </c>
      <c r="V90" s="321">
        <f t="shared" si="13"/>
        <v>0</v>
      </c>
      <c r="W90" s="321">
        <f t="shared" si="20"/>
        <v>0</v>
      </c>
      <c r="X90" s="321">
        <f t="shared" si="20"/>
        <v>0</v>
      </c>
      <c r="Y90" s="321">
        <f t="shared" si="20"/>
        <v>0</v>
      </c>
      <c r="Z90" s="321">
        <f t="shared" si="20"/>
        <v>0</v>
      </c>
      <c r="AA90" s="321">
        <f t="shared" si="20"/>
        <v>0</v>
      </c>
      <c r="AB90" s="321">
        <f t="shared" si="20"/>
        <v>0</v>
      </c>
      <c r="AC90" s="321">
        <f t="shared" si="20"/>
        <v>0</v>
      </c>
      <c r="AD90" s="321">
        <f t="shared" si="20"/>
        <v>0</v>
      </c>
      <c r="AE90" s="321">
        <f t="shared" si="20"/>
        <v>0</v>
      </c>
      <c r="AF90" s="321">
        <f t="shared" si="20"/>
        <v>0</v>
      </c>
      <c r="AG90" s="70">
        <f t="shared" si="14"/>
        <v>0</v>
      </c>
      <c r="AH90" s="321">
        <f t="shared" si="15"/>
        <v>0</v>
      </c>
      <c r="AI90" s="331">
        <f t="shared" si="16"/>
        <v>0</v>
      </c>
    </row>
    <row r="91" spans="1:35" ht="10.5">
      <c r="B91" s="42">
        <v>3555200</v>
      </c>
      <c r="C91" s="42"/>
      <c r="D91" s="11" t="s">
        <v>735</v>
      </c>
      <c r="E91" s="11" t="s">
        <v>735</v>
      </c>
      <c r="F91" s="229">
        <v>99.06</v>
      </c>
      <c r="G91" s="229">
        <v>76.739999999999995</v>
      </c>
      <c r="H91" s="229">
        <v>107.94</v>
      </c>
      <c r="I91" s="229">
        <v>339.06</v>
      </c>
      <c r="J91" s="229">
        <v>74.760000000000005</v>
      </c>
      <c r="K91" s="229">
        <v>37.799999999999997</v>
      </c>
      <c r="L91" s="229">
        <v>151.97999999999999</v>
      </c>
      <c r="M91" s="229">
        <v>95.88</v>
      </c>
      <c r="N91" s="229">
        <v>192.18</v>
      </c>
      <c r="O91" s="229">
        <v>387.54</v>
      </c>
      <c r="P91" s="229">
        <v>339.18</v>
      </c>
      <c r="Q91" s="229">
        <v>325.74</v>
      </c>
      <c r="R91" s="8">
        <f>+SUM(F91:Q91)</f>
        <v>2227.8599999999997</v>
      </c>
      <c r="S91" s="1">
        <f>COUNT(F91:Q91)</f>
        <v>12</v>
      </c>
      <c r="T91" s="31">
        <f>+IF(R91=0,0,R91/S91)</f>
        <v>185.65499999999997</v>
      </c>
      <c r="V91" s="321">
        <f t="shared" si="13"/>
        <v>0</v>
      </c>
      <c r="W91" s="321">
        <f t="shared" si="20"/>
        <v>0</v>
      </c>
      <c r="X91" s="321">
        <f t="shared" si="20"/>
        <v>0</v>
      </c>
      <c r="Y91" s="321">
        <f t="shared" si="20"/>
        <v>0</v>
      </c>
      <c r="Z91" s="321">
        <f t="shared" si="20"/>
        <v>0</v>
      </c>
      <c r="AA91" s="321">
        <f t="shared" si="20"/>
        <v>0</v>
      </c>
      <c r="AB91" s="321">
        <f t="shared" si="20"/>
        <v>0</v>
      </c>
      <c r="AC91" s="321">
        <f t="shared" si="20"/>
        <v>0</v>
      </c>
      <c r="AD91" s="321">
        <f t="shared" si="20"/>
        <v>0</v>
      </c>
      <c r="AE91" s="321">
        <f t="shared" si="20"/>
        <v>0</v>
      </c>
      <c r="AF91" s="321">
        <f t="shared" si="20"/>
        <v>1492.5</v>
      </c>
      <c r="AG91" s="70">
        <f t="shared" si="14"/>
        <v>1492.5</v>
      </c>
      <c r="AH91" s="321">
        <f t="shared" si="15"/>
        <v>1492.5</v>
      </c>
      <c r="AI91" s="331">
        <f t="shared" si="16"/>
        <v>0</v>
      </c>
    </row>
    <row r="92" spans="1:35" ht="10.5">
      <c r="A92" s="1" t="s">
        <v>530</v>
      </c>
      <c r="B92" s="42">
        <v>15035622</v>
      </c>
      <c r="C92" s="42"/>
      <c r="D92" s="11" t="s">
        <v>634</v>
      </c>
      <c r="E92" s="11" t="s">
        <v>280</v>
      </c>
      <c r="F92" s="181">
        <v>10480</v>
      </c>
      <c r="G92" s="184">
        <v>8461.4500000000007</v>
      </c>
      <c r="H92" s="229">
        <v>8783.74</v>
      </c>
      <c r="I92" s="192">
        <v>13586.88</v>
      </c>
      <c r="J92" s="195">
        <v>6200.27</v>
      </c>
      <c r="K92" s="238">
        <v>5388.52</v>
      </c>
      <c r="L92" s="306">
        <v>4288.3</v>
      </c>
      <c r="M92" s="212">
        <v>5722.7</v>
      </c>
      <c r="N92" s="217">
        <v>7881.99</v>
      </c>
      <c r="O92" s="220">
        <v>10980.15</v>
      </c>
      <c r="P92" s="304">
        <v>8532.74</v>
      </c>
      <c r="Q92" s="172">
        <v>9069.15</v>
      </c>
      <c r="R92" s="8">
        <f>+SUM(F92:Q92)</f>
        <v>99375.89</v>
      </c>
      <c r="S92" s="1">
        <f>COUNT(F92:Q92)</f>
        <v>12</v>
      </c>
      <c r="T92" s="31">
        <f>+IF(R92=0,0,R92/S92)</f>
        <v>8281.3241666666672</v>
      </c>
      <c r="V92" s="321">
        <f t="shared" si="13"/>
        <v>0</v>
      </c>
      <c r="W92" s="321">
        <f t="shared" si="20"/>
        <v>0</v>
      </c>
      <c r="X92" s="321">
        <f t="shared" si="20"/>
        <v>0</v>
      </c>
      <c r="Y92" s="321">
        <f t="shared" si="20"/>
        <v>46475.03</v>
      </c>
      <c r="Z92" s="321">
        <f t="shared" si="20"/>
        <v>0</v>
      </c>
      <c r="AA92" s="321">
        <f t="shared" si="20"/>
        <v>0</v>
      </c>
      <c r="AB92" s="321">
        <f t="shared" si="20"/>
        <v>0</v>
      </c>
      <c r="AC92" s="321">
        <f t="shared" si="20"/>
        <v>0</v>
      </c>
      <c r="AD92" s="321">
        <f t="shared" si="20"/>
        <v>0</v>
      </c>
      <c r="AE92" s="321">
        <f t="shared" si="20"/>
        <v>0</v>
      </c>
      <c r="AF92" s="321">
        <f t="shared" si="20"/>
        <v>0</v>
      </c>
      <c r="AG92" s="70">
        <f t="shared" si="14"/>
        <v>46475.03</v>
      </c>
      <c r="AH92" s="321">
        <f t="shared" si="15"/>
        <v>46475.03</v>
      </c>
      <c r="AI92" s="331">
        <f t="shared" si="16"/>
        <v>0</v>
      </c>
    </row>
    <row r="93" spans="1:35" ht="10.5">
      <c r="A93" s="1" t="s">
        <v>661</v>
      </c>
      <c r="B93" s="4">
        <v>7004600</v>
      </c>
      <c r="C93" s="4">
        <v>119</v>
      </c>
      <c r="D93" s="1" t="s">
        <v>281</v>
      </c>
      <c r="E93" s="1" t="s">
        <v>281</v>
      </c>
      <c r="F93" s="181">
        <v>1513.38</v>
      </c>
      <c r="G93" s="184">
        <v>1624.02</v>
      </c>
      <c r="H93" s="233"/>
      <c r="I93" s="193"/>
      <c r="J93" s="196"/>
      <c r="K93" s="240"/>
      <c r="L93" s="307"/>
      <c r="M93" s="211"/>
      <c r="N93" s="218"/>
      <c r="O93" s="222"/>
      <c r="P93" s="316"/>
      <c r="Q93" s="173"/>
      <c r="R93" s="8">
        <f t="shared" si="21"/>
        <v>3137.4</v>
      </c>
      <c r="S93" s="1">
        <f t="shared" si="22"/>
        <v>2</v>
      </c>
      <c r="T93" s="31">
        <f t="shared" si="23"/>
        <v>1568.7</v>
      </c>
      <c r="V93" s="321">
        <f t="shared" si="13"/>
        <v>0</v>
      </c>
      <c r="W93" s="321">
        <f t="shared" si="20"/>
        <v>0</v>
      </c>
      <c r="X93" s="321">
        <f t="shared" si="20"/>
        <v>0</v>
      </c>
      <c r="Y93" s="321">
        <f t="shared" si="20"/>
        <v>0</v>
      </c>
      <c r="Z93" s="321">
        <f t="shared" si="20"/>
        <v>0</v>
      </c>
      <c r="AA93" s="321">
        <f t="shared" si="20"/>
        <v>0</v>
      </c>
      <c r="AB93" s="321">
        <f t="shared" si="20"/>
        <v>0</v>
      </c>
      <c r="AC93" s="321">
        <f t="shared" si="20"/>
        <v>0</v>
      </c>
      <c r="AD93" s="321">
        <f t="shared" si="20"/>
        <v>0</v>
      </c>
      <c r="AE93" s="321">
        <f t="shared" si="20"/>
        <v>0</v>
      </c>
      <c r="AF93" s="321">
        <f t="shared" si="20"/>
        <v>0</v>
      </c>
      <c r="AG93" s="70">
        <f t="shared" si="14"/>
        <v>0</v>
      </c>
      <c r="AH93" s="321">
        <f t="shared" si="15"/>
        <v>0</v>
      </c>
      <c r="AI93" s="331">
        <f t="shared" si="16"/>
        <v>0</v>
      </c>
    </row>
    <row r="94" spans="1:35" ht="10.5">
      <c r="A94" s="1" t="s">
        <v>661</v>
      </c>
      <c r="B94" s="4">
        <v>15051589</v>
      </c>
      <c r="C94" s="4"/>
      <c r="D94" s="1" t="s">
        <v>281</v>
      </c>
      <c r="E94" s="1" t="s">
        <v>281</v>
      </c>
      <c r="F94" s="180"/>
      <c r="G94" s="185"/>
      <c r="H94" s="229">
        <v>1283.22</v>
      </c>
      <c r="I94" s="192">
        <v>2004.33</v>
      </c>
      <c r="J94" s="195">
        <v>1659.92</v>
      </c>
      <c r="K94" s="238">
        <v>1836.58</v>
      </c>
      <c r="L94" s="306">
        <v>1509.33</v>
      </c>
      <c r="M94" s="212">
        <v>1485.43</v>
      </c>
      <c r="N94" s="217">
        <v>1765.54</v>
      </c>
      <c r="O94" s="220">
        <v>1839.52</v>
      </c>
      <c r="P94" s="304">
        <v>1493.13</v>
      </c>
      <c r="Q94" s="172">
        <v>1483.45</v>
      </c>
      <c r="R94" s="8">
        <f t="shared" si="21"/>
        <v>16360.450000000004</v>
      </c>
      <c r="S94" s="1">
        <f t="shared" si="22"/>
        <v>10</v>
      </c>
      <c r="T94" s="31">
        <f t="shared" si="23"/>
        <v>1636.0450000000005</v>
      </c>
      <c r="V94" s="321">
        <f t="shared" si="13"/>
        <v>0</v>
      </c>
      <c r="W94" s="321">
        <f t="shared" si="20"/>
        <v>0</v>
      </c>
      <c r="X94" s="321">
        <f t="shared" si="20"/>
        <v>0</v>
      </c>
      <c r="Y94" s="321">
        <f t="shared" si="20"/>
        <v>0</v>
      </c>
      <c r="Z94" s="321">
        <f t="shared" si="20"/>
        <v>0</v>
      </c>
      <c r="AA94" s="321">
        <f t="shared" si="20"/>
        <v>0</v>
      </c>
      <c r="AB94" s="321">
        <f t="shared" si="20"/>
        <v>0</v>
      </c>
      <c r="AC94" s="321">
        <f t="shared" si="20"/>
        <v>0</v>
      </c>
      <c r="AD94" s="321">
        <f t="shared" si="20"/>
        <v>0</v>
      </c>
      <c r="AE94" s="321">
        <f t="shared" si="20"/>
        <v>9576.4</v>
      </c>
      <c r="AF94" s="321">
        <f t="shared" si="20"/>
        <v>0</v>
      </c>
      <c r="AG94" s="70">
        <f t="shared" si="14"/>
        <v>9576.4</v>
      </c>
      <c r="AH94" s="321">
        <f t="shared" si="15"/>
        <v>9576.4</v>
      </c>
      <c r="AI94" s="331">
        <f t="shared" si="16"/>
        <v>0</v>
      </c>
    </row>
    <row r="95" spans="1:35" ht="10.5">
      <c r="A95" s="1" t="s">
        <v>661</v>
      </c>
      <c r="B95" s="4">
        <v>15036315</v>
      </c>
      <c r="C95" s="4"/>
      <c r="D95" s="1" t="s">
        <v>91</v>
      </c>
      <c r="E95" s="1" t="s">
        <v>91</v>
      </c>
      <c r="F95" s="180"/>
      <c r="G95" s="185"/>
      <c r="H95" s="233"/>
      <c r="I95" s="193"/>
      <c r="J95" s="196"/>
      <c r="K95" s="240"/>
      <c r="L95" s="307"/>
      <c r="M95" s="211"/>
      <c r="N95" s="218"/>
      <c r="O95" s="222"/>
      <c r="P95" s="316"/>
      <c r="Q95" s="173"/>
      <c r="R95" s="8">
        <f t="shared" si="21"/>
        <v>0</v>
      </c>
      <c r="S95" s="1">
        <f t="shared" si="22"/>
        <v>0</v>
      </c>
      <c r="T95" s="31">
        <f t="shared" si="23"/>
        <v>0</v>
      </c>
      <c r="V95" s="321">
        <f t="shared" si="13"/>
        <v>0</v>
      </c>
      <c r="W95" s="321">
        <f t="shared" si="20"/>
        <v>0</v>
      </c>
      <c r="X95" s="321">
        <f t="shared" si="20"/>
        <v>0</v>
      </c>
      <c r="Y95" s="321">
        <f t="shared" si="20"/>
        <v>0</v>
      </c>
      <c r="Z95" s="321">
        <f t="shared" si="20"/>
        <v>0</v>
      </c>
      <c r="AA95" s="321">
        <f t="shared" si="20"/>
        <v>0</v>
      </c>
      <c r="AB95" s="321">
        <f t="shared" si="20"/>
        <v>0</v>
      </c>
      <c r="AC95" s="321">
        <f t="shared" si="20"/>
        <v>0</v>
      </c>
      <c r="AD95" s="321">
        <f t="shared" si="20"/>
        <v>0</v>
      </c>
      <c r="AE95" s="321">
        <f t="shared" si="20"/>
        <v>0</v>
      </c>
      <c r="AF95" s="321">
        <f t="shared" si="20"/>
        <v>0</v>
      </c>
      <c r="AG95" s="70">
        <f t="shared" si="14"/>
        <v>0</v>
      </c>
      <c r="AH95" s="321">
        <f t="shared" si="15"/>
        <v>0</v>
      </c>
      <c r="AI95" s="331">
        <f t="shared" si="16"/>
        <v>0</v>
      </c>
    </row>
    <row r="96" spans="1:35" ht="10.5">
      <c r="A96" s="1" t="s">
        <v>660</v>
      </c>
      <c r="B96" s="4">
        <v>15051246</v>
      </c>
      <c r="C96" s="4"/>
      <c r="D96" s="1" t="s">
        <v>91</v>
      </c>
      <c r="E96" s="1" t="s">
        <v>91</v>
      </c>
      <c r="F96" s="181">
        <v>21207.09</v>
      </c>
      <c r="G96" s="184">
        <v>17642.259999999998</v>
      </c>
      <c r="H96" s="229">
        <v>19858.23</v>
      </c>
      <c r="I96" s="192">
        <v>24821.99</v>
      </c>
      <c r="J96" s="195">
        <v>16480.669999999998</v>
      </c>
      <c r="K96" s="238">
        <v>13308.98</v>
      </c>
      <c r="L96" s="306">
        <v>31683.68</v>
      </c>
      <c r="M96" s="212">
        <v>14559.24</v>
      </c>
      <c r="N96" s="217">
        <v>18436.080000000002</v>
      </c>
      <c r="O96" s="220">
        <v>22571.7</v>
      </c>
      <c r="P96" s="304">
        <v>18549.240000000002</v>
      </c>
      <c r="Q96" s="172">
        <v>17243.88</v>
      </c>
      <c r="R96" s="8">
        <f t="shared" si="21"/>
        <v>236363.03999999998</v>
      </c>
      <c r="S96" s="1">
        <f t="shared" si="22"/>
        <v>12</v>
      </c>
      <c r="T96" s="31">
        <f t="shared" si="23"/>
        <v>19696.919999999998</v>
      </c>
      <c r="V96" s="321">
        <f t="shared" si="13"/>
        <v>0</v>
      </c>
      <c r="W96" s="321">
        <f t="shared" si="20"/>
        <v>0</v>
      </c>
      <c r="X96" s="321">
        <f t="shared" si="20"/>
        <v>0</v>
      </c>
      <c r="Y96" s="321">
        <f t="shared" si="20"/>
        <v>0</v>
      </c>
      <c r="Z96" s="321">
        <f t="shared" si="20"/>
        <v>0</v>
      </c>
      <c r="AA96" s="321">
        <f t="shared" si="20"/>
        <v>0</v>
      </c>
      <c r="AB96" s="321">
        <f t="shared" si="20"/>
        <v>0</v>
      </c>
      <c r="AC96" s="321">
        <f t="shared" si="20"/>
        <v>0</v>
      </c>
      <c r="AD96" s="321">
        <f t="shared" si="20"/>
        <v>0</v>
      </c>
      <c r="AE96" s="321">
        <f t="shared" si="20"/>
        <v>123043.82</v>
      </c>
      <c r="AF96" s="321">
        <f t="shared" si="20"/>
        <v>0</v>
      </c>
      <c r="AG96" s="70">
        <f t="shared" si="14"/>
        <v>123043.82</v>
      </c>
      <c r="AH96" s="321">
        <f t="shared" si="15"/>
        <v>123043.82</v>
      </c>
      <c r="AI96" s="331">
        <f t="shared" si="16"/>
        <v>0</v>
      </c>
    </row>
    <row r="97" spans="1:35" ht="10.5">
      <c r="B97" s="4">
        <v>15032636</v>
      </c>
      <c r="C97" s="4"/>
      <c r="D97" s="1" t="s">
        <v>624</v>
      </c>
      <c r="E97" s="1" t="s">
        <v>574</v>
      </c>
      <c r="F97" s="181">
        <v>16384.5</v>
      </c>
      <c r="G97" s="184">
        <v>12175.03</v>
      </c>
      <c r="H97" s="229">
        <v>16747.88</v>
      </c>
      <c r="I97" s="192">
        <v>26671.35</v>
      </c>
      <c r="J97" s="195">
        <v>12633.64</v>
      </c>
      <c r="K97" s="238">
        <v>8198.75</v>
      </c>
      <c r="L97" s="306">
        <v>6579.28</v>
      </c>
      <c r="M97" s="212">
        <v>8685.8799999999992</v>
      </c>
      <c r="N97" s="217">
        <v>13852.67</v>
      </c>
      <c r="O97" s="220">
        <v>17654.97</v>
      </c>
      <c r="P97" s="304">
        <v>18542.64</v>
      </c>
      <c r="Q97" s="172">
        <v>14639</v>
      </c>
      <c r="R97" s="8">
        <f t="shared" si="21"/>
        <v>172765.59000000003</v>
      </c>
      <c r="S97" s="1">
        <f t="shared" si="22"/>
        <v>12</v>
      </c>
      <c r="T97" s="31">
        <f t="shared" si="23"/>
        <v>14397.132500000002</v>
      </c>
      <c r="V97" s="321">
        <f t="shared" si="13"/>
        <v>0</v>
      </c>
      <c r="W97" s="321">
        <f t="shared" si="20"/>
        <v>0</v>
      </c>
      <c r="X97" s="321">
        <f t="shared" si="20"/>
        <v>0</v>
      </c>
      <c r="Y97" s="321">
        <f t="shared" si="20"/>
        <v>0</v>
      </c>
      <c r="Z97" s="321">
        <f t="shared" si="20"/>
        <v>0</v>
      </c>
      <c r="AA97" s="321">
        <f t="shared" si="20"/>
        <v>0</v>
      </c>
      <c r="AB97" s="321">
        <f t="shared" si="20"/>
        <v>0</v>
      </c>
      <c r="AC97" s="321">
        <f t="shared" si="20"/>
        <v>0</v>
      </c>
      <c r="AD97" s="321">
        <f t="shared" si="20"/>
        <v>0</v>
      </c>
      <c r="AE97" s="321">
        <f t="shared" si="20"/>
        <v>0</v>
      </c>
      <c r="AF97" s="321">
        <f t="shared" si="20"/>
        <v>79954.44</v>
      </c>
      <c r="AG97" s="70">
        <f t="shared" si="14"/>
        <v>79954.44</v>
      </c>
      <c r="AH97" s="321">
        <f t="shared" si="15"/>
        <v>79954.44</v>
      </c>
      <c r="AI97" s="331">
        <f t="shared" si="16"/>
        <v>0</v>
      </c>
    </row>
    <row r="98" spans="1:35" ht="10.5">
      <c r="A98" s="1" t="s">
        <v>530</v>
      </c>
      <c r="B98" s="4">
        <v>13032900</v>
      </c>
      <c r="C98" s="4"/>
      <c r="D98" s="1" t="s">
        <v>569</v>
      </c>
      <c r="E98" s="1" t="s">
        <v>568</v>
      </c>
      <c r="F98" s="181">
        <v>74.34</v>
      </c>
      <c r="G98" s="184">
        <v>30</v>
      </c>
      <c r="H98" s="229">
        <v>104.22</v>
      </c>
      <c r="I98" s="192">
        <v>347.57</v>
      </c>
      <c r="J98" s="195">
        <v>124.63</v>
      </c>
      <c r="K98" s="238">
        <v>126</v>
      </c>
      <c r="L98" s="306"/>
      <c r="M98" s="212"/>
      <c r="N98" s="217">
        <v>137.04</v>
      </c>
      <c r="O98" s="220">
        <v>192.75</v>
      </c>
      <c r="P98" s="304">
        <v>109.5</v>
      </c>
      <c r="Q98" s="172">
        <v>138.05000000000001</v>
      </c>
      <c r="R98" s="8">
        <f t="shared" si="21"/>
        <v>1384.1</v>
      </c>
      <c r="S98" s="1">
        <f t="shared" si="22"/>
        <v>10</v>
      </c>
      <c r="T98" s="31">
        <f t="shared" si="23"/>
        <v>138.41</v>
      </c>
      <c r="V98" s="321">
        <f t="shared" si="13"/>
        <v>0</v>
      </c>
      <c r="W98" s="321">
        <f t="shared" si="20"/>
        <v>0</v>
      </c>
      <c r="X98" s="321">
        <f t="shared" si="20"/>
        <v>0</v>
      </c>
      <c r="Y98" s="321">
        <f t="shared" si="20"/>
        <v>577.33999999999992</v>
      </c>
      <c r="Z98" s="321">
        <f t="shared" si="20"/>
        <v>0</v>
      </c>
      <c r="AA98" s="321">
        <f t="shared" si="20"/>
        <v>0</v>
      </c>
      <c r="AB98" s="321">
        <f t="shared" si="20"/>
        <v>0</v>
      </c>
      <c r="AC98" s="321">
        <f t="shared" si="20"/>
        <v>0</v>
      </c>
      <c r="AD98" s="321">
        <f t="shared" si="20"/>
        <v>0</v>
      </c>
      <c r="AE98" s="321">
        <f t="shared" si="20"/>
        <v>0</v>
      </c>
      <c r="AF98" s="321">
        <f t="shared" si="20"/>
        <v>0</v>
      </c>
      <c r="AG98" s="70">
        <f t="shared" si="14"/>
        <v>577.33999999999992</v>
      </c>
      <c r="AH98" s="321">
        <f t="shared" si="15"/>
        <v>577.33999999999992</v>
      </c>
      <c r="AI98" s="331">
        <f t="shared" si="16"/>
        <v>0</v>
      </c>
    </row>
    <row r="99" spans="1:35" ht="10.5">
      <c r="A99" s="1" t="s">
        <v>533</v>
      </c>
      <c r="B99" s="4">
        <v>7004800</v>
      </c>
      <c r="C99" s="4"/>
      <c r="D99" s="1" t="s">
        <v>283</v>
      </c>
      <c r="E99" s="1" t="s">
        <v>580</v>
      </c>
      <c r="F99" s="181">
        <v>3573.89</v>
      </c>
      <c r="G99" s="184">
        <v>3260.34</v>
      </c>
      <c r="H99" s="229">
        <v>3226.02</v>
      </c>
      <c r="I99" s="192">
        <v>3776.74</v>
      </c>
      <c r="J99" s="195">
        <v>2423.67</v>
      </c>
      <c r="K99" s="238">
        <v>339.06</v>
      </c>
      <c r="L99" s="306">
        <v>23.18</v>
      </c>
      <c r="M99" s="212"/>
      <c r="N99" s="217"/>
      <c r="O99" s="220"/>
      <c r="P99" s="304"/>
      <c r="Q99" s="172"/>
      <c r="R99" s="8">
        <f t="shared" si="21"/>
        <v>16622.900000000001</v>
      </c>
      <c r="S99" s="1">
        <f t="shared" si="22"/>
        <v>7</v>
      </c>
      <c r="T99" s="31">
        <f t="shared" si="23"/>
        <v>2374.7000000000003</v>
      </c>
      <c r="V99" s="321">
        <f t="shared" si="13"/>
        <v>0</v>
      </c>
      <c r="W99" s="321">
        <f t="shared" si="20"/>
        <v>0</v>
      </c>
      <c r="X99" s="321">
        <f t="shared" si="20"/>
        <v>0</v>
      </c>
      <c r="Y99" s="321">
        <f t="shared" si="20"/>
        <v>0</v>
      </c>
      <c r="Z99" s="321">
        <f t="shared" si="20"/>
        <v>0</v>
      </c>
      <c r="AA99" s="321">
        <f t="shared" si="20"/>
        <v>0</v>
      </c>
      <c r="AB99" s="321">
        <f t="shared" si="20"/>
        <v>23.18</v>
      </c>
      <c r="AC99" s="321">
        <f t="shared" si="20"/>
        <v>0</v>
      </c>
      <c r="AD99" s="321">
        <f t="shared" si="20"/>
        <v>0</v>
      </c>
      <c r="AE99" s="321">
        <f t="shared" si="20"/>
        <v>0</v>
      </c>
      <c r="AF99" s="321">
        <f t="shared" si="20"/>
        <v>0</v>
      </c>
      <c r="AG99" s="70">
        <f t="shared" si="14"/>
        <v>23.18</v>
      </c>
      <c r="AH99" s="321">
        <f t="shared" si="15"/>
        <v>23.18</v>
      </c>
      <c r="AI99" s="331">
        <f t="shared" si="16"/>
        <v>0</v>
      </c>
    </row>
    <row r="100" spans="1:35" ht="10.5">
      <c r="A100" s="1" t="s">
        <v>658</v>
      </c>
      <c r="B100" s="4">
        <v>7005200</v>
      </c>
      <c r="C100" s="4"/>
      <c r="D100" s="1" t="s">
        <v>284</v>
      </c>
      <c r="E100" s="1" t="s">
        <v>581</v>
      </c>
      <c r="F100" s="181">
        <v>3916.27</v>
      </c>
      <c r="G100" s="184">
        <v>3841.81</v>
      </c>
      <c r="H100" s="229">
        <v>3803.47</v>
      </c>
      <c r="I100" s="192">
        <v>4804.87</v>
      </c>
      <c r="J100" s="195">
        <v>4717.79</v>
      </c>
      <c r="K100" s="238">
        <v>3789.28</v>
      </c>
      <c r="L100" s="306">
        <v>5447.33</v>
      </c>
      <c r="M100" s="212">
        <v>5166.49</v>
      </c>
      <c r="N100" s="217">
        <v>5903.78</v>
      </c>
      <c r="O100" s="220">
        <v>6136.43</v>
      </c>
      <c r="P100" s="304">
        <v>6264.2</v>
      </c>
      <c r="Q100" s="172">
        <v>5530.55</v>
      </c>
      <c r="R100" s="8">
        <f t="shared" si="21"/>
        <v>59322.27</v>
      </c>
      <c r="S100" s="1">
        <f t="shared" si="22"/>
        <v>12</v>
      </c>
      <c r="T100" s="31">
        <f t="shared" si="23"/>
        <v>4943.5225</v>
      </c>
      <c r="V100" s="321">
        <f t="shared" si="13"/>
        <v>0</v>
      </c>
      <c r="W100" s="321">
        <f t="shared" si="20"/>
        <v>0</v>
      </c>
      <c r="X100" s="321">
        <f t="shared" si="20"/>
        <v>0</v>
      </c>
      <c r="Y100" s="321">
        <f t="shared" si="20"/>
        <v>0</v>
      </c>
      <c r="Z100" s="321">
        <f t="shared" si="20"/>
        <v>0</v>
      </c>
      <c r="AA100" s="321">
        <f t="shared" si="20"/>
        <v>0</v>
      </c>
      <c r="AB100" s="321">
        <f t="shared" si="20"/>
        <v>0</v>
      </c>
      <c r="AC100" s="321">
        <f t="shared" si="20"/>
        <v>0</v>
      </c>
      <c r="AD100" s="321">
        <f t="shared" si="20"/>
        <v>34448.78</v>
      </c>
      <c r="AE100" s="321">
        <f t="shared" si="20"/>
        <v>0</v>
      </c>
      <c r="AF100" s="321">
        <f t="shared" si="20"/>
        <v>0</v>
      </c>
      <c r="AG100" s="70">
        <f t="shared" si="14"/>
        <v>34448.78</v>
      </c>
      <c r="AH100" s="321">
        <f t="shared" si="15"/>
        <v>34448.78</v>
      </c>
      <c r="AI100" s="331">
        <f t="shared" si="16"/>
        <v>0</v>
      </c>
    </row>
    <row r="101" spans="1:35" ht="10.5">
      <c r="B101" s="4">
        <v>7004900</v>
      </c>
      <c r="C101" s="4">
        <v>120</v>
      </c>
      <c r="D101" s="1" t="s">
        <v>393</v>
      </c>
      <c r="E101" s="1" t="s">
        <v>393</v>
      </c>
      <c r="F101" s="181">
        <v>191.4</v>
      </c>
      <c r="G101" s="184">
        <v>276.60000000000002</v>
      </c>
      <c r="H101" s="229">
        <v>267.60000000000002</v>
      </c>
      <c r="I101" s="192">
        <v>319.2</v>
      </c>
      <c r="J101" s="195">
        <v>280.2</v>
      </c>
      <c r="K101" s="238">
        <v>270.48</v>
      </c>
      <c r="L101" s="306">
        <v>290.39999999999998</v>
      </c>
      <c r="M101" s="212">
        <v>271.2</v>
      </c>
      <c r="N101" s="217">
        <v>315.60000000000002</v>
      </c>
      <c r="O101" s="220">
        <v>310.8</v>
      </c>
      <c r="P101" s="304">
        <v>285.60000000000002</v>
      </c>
      <c r="Q101" s="172">
        <v>311.39999999999998</v>
      </c>
      <c r="R101" s="8">
        <f t="shared" si="21"/>
        <v>3390.48</v>
      </c>
      <c r="S101" s="1">
        <f t="shared" si="22"/>
        <v>12</v>
      </c>
      <c r="T101" s="31">
        <f t="shared" si="23"/>
        <v>282.54000000000002</v>
      </c>
      <c r="V101" s="321">
        <f t="shared" si="13"/>
        <v>0</v>
      </c>
      <c r="W101" s="321">
        <f t="shared" si="20"/>
        <v>0</v>
      </c>
      <c r="X101" s="321">
        <f t="shared" si="20"/>
        <v>0</v>
      </c>
      <c r="Y101" s="321">
        <f t="shared" si="20"/>
        <v>0</v>
      </c>
      <c r="Z101" s="321">
        <f t="shared" si="20"/>
        <v>0</v>
      </c>
      <c r="AA101" s="321">
        <f t="shared" si="20"/>
        <v>0</v>
      </c>
      <c r="AB101" s="321">
        <f t="shared" si="20"/>
        <v>0</v>
      </c>
      <c r="AC101" s="321">
        <f t="shared" si="20"/>
        <v>0</v>
      </c>
      <c r="AD101" s="321">
        <f t="shared" si="20"/>
        <v>0</v>
      </c>
      <c r="AE101" s="321">
        <f t="shared" si="20"/>
        <v>0</v>
      </c>
      <c r="AF101" s="321">
        <f t="shared" si="20"/>
        <v>1785</v>
      </c>
      <c r="AG101" s="70">
        <f t="shared" si="14"/>
        <v>1785</v>
      </c>
      <c r="AH101" s="321">
        <f t="shared" si="15"/>
        <v>1785</v>
      </c>
      <c r="AI101" s="331">
        <f t="shared" si="16"/>
        <v>0</v>
      </c>
    </row>
    <row r="102" spans="1:35" ht="10.5">
      <c r="A102" s="1" t="s">
        <v>659</v>
      </c>
      <c r="B102" s="4">
        <v>7002901</v>
      </c>
      <c r="C102" s="4">
        <v>121</v>
      </c>
      <c r="D102" s="1" t="s">
        <v>502</v>
      </c>
      <c r="E102" s="1" t="s">
        <v>502</v>
      </c>
      <c r="F102" s="181">
        <v>3662.73</v>
      </c>
      <c r="G102" s="184">
        <v>3156.56</v>
      </c>
      <c r="H102" s="229">
        <v>3162.59</v>
      </c>
      <c r="I102" s="192">
        <v>5028.8900000000003</v>
      </c>
      <c r="J102" s="195">
        <v>2923.79</v>
      </c>
      <c r="K102" s="238">
        <v>2604.09</v>
      </c>
      <c r="L102" s="306">
        <v>2059.4899999999998</v>
      </c>
      <c r="M102" s="212">
        <v>2440.88</v>
      </c>
      <c r="N102" s="217">
        <v>3305.74</v>
      </c>
      <c r="O102" s="220">
        <v>4348.01</v>
      </c>
      <c r="P102" s="304">
        <v>2952.98</v>
      </c>
      <c r="Q102" s="173"/>
      <c r="R102" s="8">
        <f t="shared" si="21"/>
        <v>35645.750000000007</v>
      </c>
      <c r="S102" s="1">
        <f t="shared" si="22"/>
        <v>11</v>
      </c>
      <c r="T102" s="31">
        <f t="shared" si="23"/>
        <v>3240.5227272727279</v>
      </c>
      <c r="V102" s="321">
        <f t="shared" si="13"/>
        <v>0</v>
      </c>
      <c r="W102" s="321">
        <f t="shared" si="20"/>
        <v>0</v>
      </c>
      <c r="X102" s="321">
        <f t="shared" si="20"/>
        <v>0</v>
      </c>
      <c r="Y102" s="321">
        <f t="shared" si="20"/>
        <v>0</v>
      </c>
      <c r="Z102" s="321">
        <f t="shared" si="20"/>
        <v>0</v>
      </c>
      <c r="AA102" s="321">
        <f t="shared" si="20"/>
        <v>0</v>
      </c>
      <c r="AB102" s="321">
        <f t="shared" si="20"/>
        <v>0</v>
      </c>
      <c r="AC102" s="321">
        <f t="shared" si="20"/>
        <v>15107.099999999999</v>
      </c>
      <c r="AD102" s="321">
        <f t="shared" si="20"/>
        <v>0</v>
      </c>
      <c r="AE102" s="321">
        <f t="shared" si="20"/>
        <v>0</v>
      </c>
      <c r="AF102" s="321">
        <f t="shared" si="20"/>
        <v>0</v>
      </c>
      <c r="AG102" s="70">
        <f t="shared" si="14"/>
        <v>15107.099999999999</v>
      </c>
      <c r="AH102" s="321">
        <f t="shared" si="15"/>
        <v>15107.099999999999</v>
      </c>
      <c r="AI102" s="331">
        <f t="shared" si="16"/>
        <v>0</v>
      </c>
    </row>
    <row r="103" spans="1:35" ht="10.5">
      <c r="A103" s="1" t="s">
        <v>659</v>
      </c>
      <c r="B103" s="4">
        <v>15054341</v>
      </c>
      <c r="C103" s="4"/>
      <c r="D103" s="1" t="s">
        <v>669</v>
      </c>
      <c r="E103" s="1" t="s">
        <v>502</v>
      </c>
      <c r="F103" s="180"/>
      <c r="G103" s="185"/>
      <c r="H103" s="233"/>
      <c r="I103" s="193"/>
      <c r="J103" s="196"/>
      <c r="K103" s="240"/>
      <c r="L103" s="307"/>
      <c r="M103" s="211"/>
      <c r="N103" s="218"/>
      <c r="O103" s="222"/>
      <c r="P103" s="316"/>
      <c r="Q103" s="172">
        <v>3521.75</v>
      </c>
      <c r="R103" s="8">
        <f>+SUM(F103:Q103)</f>
        <v>3521.75</v>
      </c>
      <c r="S103" s="1">
        <f>COUNT(F103:Q103)</f>
        <v>1</v>
      </c>
      <c r="T103" s="31">
        <f>+IF(R103=0,0,R103/S103)</f>
        <v>3521.75</v>
      </c>
      <c r="V103" s="321">
        <f t="shared" si="13"/>
        <v>0</v>
      </c>
      <c r="W103" s="321">
        <f t="shared" si="20"/>
        <v>0</v>
      </c>
      <c r="X103" s="321">
        <f t="shared" si="20"/>
        <v>0</v>
      </c>
      <c r="Y103" s="321">
        <f t="shared" si="20"/>
        <v>0</v>
      </c>
      <c r="Z103" s="321">
        <f t="shared" si="20"/>
        <v>0</v>
      </c>
      <c r="AA103" s="321">
        <f t="shared" si="20"/>
        <v>0</v>
      </c>
      <c r="AB103" s="321">
        <f t="shared" si="20"/>
        <v>0</v>
      </c>
      <c r="AC103" s="321">
        <f t="shared" si="20"/>
        <v>3521.75</v>
      </c>
      <c r="AD103" s="321">
        <f t="shared" si="20"/>
        <v>0</v>
      </c>
      <c r="AE103" s="321">
        <f t="shared" si="20"/>
        <v>0</v>
      </c>
      <c r="AF103" s="321">
        <f t="shared" si="20"/>
        <v>0</v>
      </c>
      <c r="AG103" s="70">
        <f t="shared" si="14"/>
        <v>3521.75</v>
      </c>
      <c r="AH103" s="321">
        <f t="shared" si="15"/>
        <v>3521.75</v>
      </c>
      <c r="AI103" s="331">
        <f t="shared" si="16"/>
        <v>0</v>
      </c>
    </row>
    <row r="104" spans="1:35" ht="10.5">
      <c r="A104" s="1" t="s">
        <v>664</v>
      </c>
      <c r="B104" s="4">
        <v>15032222</v>
      </c>
      <c r="C104" s="4"/>
      <c r="D104" s="1" t="s">
        <v>570</v>
      </c>
      <c r="E104" s="1" t="s">
        <v>518</v>
      </c>
      <c r="F104" s="181">
        <v>26240.21</v>
      </c>
      <c r="G104" s="184">
        <v>16190.77</v>
      </c>
      <c r="H104" s="229">
        <v>28049.79</v>
      </c>
      <c r="I104" s="192">
        <v>18489.830000000002</v>
      </c>
      <c r="J104" s="196"/>
      <c r="K104" s="240"/>
      <c r="L104" s="307"/>
      <c r="M104" s="211"/>
      <c r="N104" s="218"/>
      <c r="O104" s="222"/>
      <c r="P104" s="316"/>
      <c r="Q104" s="173"/>
      <c r="R104" s="8">
        <f>+SUM(F104:Q104)</f>
        <v>88970.599999999991</v>
      </c>
      <c r="S104" s="1">
        <f>COUNT(F104:Q104)</f>
        <v>4</v>
      </c>
      <c r="T104" s="31">
        <f>+IF(R104=0,0,R104/S104)</f>
        <v>22242.649999999998</v>
      </c>
      <c r="V104" s="321">
        <f t="shared" si="13"/>
        <v>0</v>
      </c>
      <c r="W104" s="321">
        <f t="shared" si="20"/>
        <v>0</v>
      </c>
      <c r="X104" s="321">
        <f t="shared" si="20"/>
        <v>0</v>
      </c>
      <c r="Y104" s="321">
        <f t="shared" si="20"/>
        <v>0</v>
      </c>
      <c r="Z104" s="321">
        <f t="shared" si="20"/>
        <v>0</v>
      </c>
      <c r="AA104" s="321">
        <f t="shared" si="20"/>
        <v>0</v>
      </c>
      <c r="AB104" s="321">
        <f t="shared" si="20"/>
        <v>0</v>
      </c>
      <c r="AC104" s="321">
        <f t="shared" si="20"/>
        <v>0</v>
      </c>
      <c r="AD104" s="321">
        <f t="shared" si="20"/>
        <v>0</v>
      </c>
      <c r="AE104" s="321">
        <f t="shared" si="20"/>
        <v>0</v>
      </c>
      <c r="AF104" s="321">
        <f t="shared" si="20"/>
        <v>0</v>
      </c>
      <c r="AG104" s="70">
        <f t="shared" si="14"/>
        <v>0</v>
      </c>
      <c r="AH104" s="321">
        <f t="shared" si="15"/>
        <v>0</v>
      </c>
      <c r="AI104" s="331">
        <f t="shared" si="16"/>
        <v>0</v>
      </c>
    </row>
    <row r="105" spans="1:35" ht="10.5">
      <c r="A105" s="1" t="s">
        <v>664</v>
      </c>
      <c r="B105" s="4">
        <v>15051606</v>
      </c>
      <c r="C105" s="4"/>
      <c r="D105" s="1" t="s">
        <v>639</v>
      </c>
      <c r="E105" s="1" t="s">
        <v>518</v>
      </c>
      <c r="F105" s="180"/>
      <c r="G105" s="185"/>
      <c r="H105" s="233"/>
      <c r="I105" s="192">
        <v>30716.28</v>
      </c>
      <c r="J105" s="238">
        <v>13458.17</v>
      </c>
      <c r="K105" s="306">
        <v>12517.55</v>
      </c>
      <c r="L105" s="306">
        <v>11851.62</v>
      </c>
      <c r="M105" s="212">
        <v>15829.3</v>
      </c>
      <c r="N105" s="217">
        <v>20175.32</v>
      </c>
      <c r="O105" s="220">
        <v>39180.06</v>
      </c>
      <c r="P105" s="304">
        <v>32625.89</v>
      </c>
      <c r="Q105" s="172">
        <v>21778.77</v>
      </c>
      <c r="R105" s="8">
        <f t="shared" si="21"/>
        <v>198132.96</v>
      </c>
      <c r="S105" s="1">
        <f t="shared" si="22"/>
        <v>9</v>
      </c>
      <c r="T105" s="31">
        <f t="shared" si="23"/>
        <v>22014.773333333331</v>
      </c>
      <c r="V105" s="321">
        <f t="shared" si="13"/>
        <v>0</v>
      </c>
      <c r="W105" s="321">
        <f t="shared" si="20"/>
        <v>0</v>
      </c>
      <c r="X105" s="321">
        <f t="shared" si="20"/>
        <v>0</v>
      </c>
      <c r="Y105" s="321">
        <f t="shared" si="20"/>
        <v>0</v>
      </c>
      <c r="Z105" s="321">
        <f t="shared" si="20"/>
        <v>0</v>
      </c>
      <c r="AA105" s="321">
        <f t="shared" si="20"/>
        <v>0</v>
      </c>
      <c r="AB105" s="321">
        <f t="shared" si="20"/>
        <v>0</v>
      </c>
      <c r="AC105" s="321">
        <f t="shared" si="20"/>
        <v>0</v>
      </c>
      <c r="AD105" s="321">
        <f t="shared" si="20"/>
        <v>0</v>
      </c>
      <c r="AE105" s="321">
        <f t="shared" si="20"/>
        <v>141440.95999999999</v>
      </c>
      <c r="AF105" s="321">
        <f t="shared" si="20"/>
        <v>0</v>
      </c>
      <c r="AG105" s="70">
        <f t="shared" si="14"/>
        <v>141440.95999999999</v>
      </c>
      <c r="AH105" s="321">
        <f t="shared" si="15"/>
        <v>141440.95999999999</v>
      </c>
      <c r="AI105" s="331">
        <f t="shared" si="16"/>
        <v>0</v>
      </c>
    </row>
    <row r="106" spans="1:35" ht="10.5">
      <c r="A106" s="1" t="s">
        <v>531</v>
      </c>
      <c r="B106" s="4">
        <v>7009800</v>
      </c>
      <c r="C106" s="4"/>
      <c r="D106" s="1" t="s">
        <v>113</v>
      </c>
      <c r="E106" s="1" t="s">
        <v>102</v>
      </c>
      <c r="F106" s="181">
        <v>415.16</v>
      </c>
      <c r="G106" s="184">
        <v>254.86</v>
      </c>
      <c r="H106" s="229">
        <v>326.39999999999998</v>
      </c>
      <c r="I106" s="192">
        <v>345.6</v>
      </c>
      <c r="J106" s="195">
        <v>162</v>
      </c>
      <c r="K106" s="238">
        <v>144.61000000000001</v>
      </c>
      <c r="L106" s="306"/>
      <c r="M106" s="212">
        <v>62.4</v>
      </c>
      <c r="N106" s="217">
        <v>271.24</v>
      </c>
      <c r="O106" s="220">
        <v>402.31</v>
      </c>
      <c r="P106" s="304">
        <v>247.45</v>
      </c>
      <c r="Q106" s="172">
        <v>365.57</v>
      </c>
      <c r="R106" s="8">
        <f t="shared" si="21"/>
        <v>2997.6000000000004</v>
      </c>
      <c r="S106" s="1">
        <f t="shared" si="22"/>
        <v>11</v>
      </c>
      <c r="T106" s="32">
        <f t="shared" si="23"/>
        <v>272.50909090909096</v>
      </c>
      <c r="V106" s="321">
        <f t="shared" si="13"/>
        <v>0</v>
      </c>
      <c r="W106" s="321">
        <f t="shared" si="20"/>
        <v>0</v>
      </c>
      <c r="X106" s="321">
        <f t="shared" si="20"/>
        <v>1348.97</v>
      </c>
      <c r="Y106" s="321">
        <f t="shared" si="20"/>
        <v>0</v>
      </c>
      <c r="Z106" s="321">
        <f t="shared" si="20"/>
        <v>0</v>
      </c>
      <c r="AA106" s="321">
        <f t="shared" si="20"/>
        <v>0</v>
      </c>
      <c r="AB106" s="321">
        <f t="shared" si="20"/>
        <v>0</v>
      </c>
      <c r="AC106" s="321">
        <f t="shared" si="20"/>
        <v>0</v>
      </c>
      <c r="AD106" s="321">
        <f t="shared" si="20"/>
        <v>0</v>
      </c>
      <c r="AE106" s="321">
        <f t="shared" si="20"/>
        <v>0</v>
      </c>
      <c r="AF106" s="321">
        <f t="shared" si="20"/>
        <v>0</v>
      </c>
      <c r="AG106" s="70">
        <f t="shared" si="14"/>
        <v>1348.97</v>
      </c>
      <c r="AH106" s="321">
        <f t="shared" si="15"/>
        <v>1348.97</v>
      </c>
      <c r="AI106" s="331">
        <f t="shared" si="16"/>
        <v>0</v>
      </c>
    </row>
    <row r="107" spans="1:35" ht="10.5">
      <c r="A107" s="1" t="s">
        <v>530</v>
      </c>
      <c r="B107" s="4">
        <v>15036275</v>
      </c>
      <c r="C107" s="4"/>
      <c r="D107" s="1" t="s">
        <v>645</v>
      </c>
      <c r="E107" s="1" t="s">
        <v>590</v>
      </c>
      <c r="F107" s="181">
        <v>15437.76</v>
      </c>
      <c r="G107" s="184">
        <v>12523.63</v>
      </c>
      <c r="H107" s="229">
        <v>13462.42</v>
      </c>
      <c r="I107" s="192">
        <v>23345.51</v>
      </c>
      <c r="J107" s="195">
        <v>10805.07</v>
      </c>
      <c r="K107" s="238">
        <v>8686.75</v>
      </c>
      <c r="L107" s="306">
        <v>8630.59</v>
      </c>
      <c r="M107" s="212">
        <v>9659.1299999999992</v>
      </c>
      <c r="N107" s="217">
        <v>11550.72</v>
      </c>
      <c r="O107" s="220">
        <v>15802.33</v>
      </c>
      <c r="P107" s="304">
        <v>15653.2</v>
      </c>
      <c r="Q107" s="172">
        <v>13655.42</v>
      </c>
      <c r="R107" s="8">
        <f t="shared" si="21"/>
        <v>159212.53</v>
      </c>
      <c r="S107" s="1">
        <f t="shared" si="22"/>
        <v>12</v>
      </c>
      <c r="T107" s="31">
        <f t="shared" si="23"/>
        <v>13267.710833333333</v>
      </c>
      <c r="V107" s="321">
        <f t="shared" si="13"/>
        <v>0</v>
      </c>
      <c r="W107" s="321">
        <f t="shared" si="20"/>
        <v>0</v>
      </c>
      <c r="X107" s="321">
        <f t="shared" si="20"/>
        <v>0</v>
      </c>
      <c r="Y107" s="321">
        <f t="shared" si="20"/>
        <v>74951.39</v>
      </c>
      <c r="Z107" s="321">
        <f t="shared" si="20"/>
        <v>0</v>
      </c>
      <c r="AA107" s="321">
        <f t="shared" si="20"/>
        <v>0</v>
      </c>
      <c r="AB107" s="321">
        <f t="shared" si="20"/>
        <v>0</v>
      </c>
      <c r="AC107" s="321">
        <f t="shared" si="20"/>
        <v>0</v>
      </c>
      <c r="AD107" s="321">
        <f t="shared" si="20"/>
        <v>0</v>
      </c>
      <c r="AE107" s="321">
        <f t="shared" si="20"/>
        <v>0</v>
      </c>
      <c r="AF107" s="321">
        <f t="shared" si="20"/>
        <v>0</v>
      </c>
      <c r="AG107" s="70">
        <f t="shared" si="14"/>
        <v>74951.39</v>
      </c>
      <c r="AH107" s="321">
        <f t="shared" si="15"/>
        <v>74951.39</v>
      </c>
      <c r="AI107" s="331">
        <f t="shared" si="16"/>
        <v>0</v>
      </c>
    </row>
    <row r="108" spans="1:35" ht="10.5">
      <c r="A108" s="1" t="s">
        <v>659</v>
      </c>
      <c r="B108" s="4">
        <v>15030830</v>
      </c>
      <c r="C108" s="4"/>
      <c r="D108" s="1" t="s">
        <v>564</v>
      </c>
      <c r="E108" s="1" t="s">
        <v>564</v>
      </c>
      <c r="F108" s="181">
        <v>5256.73</v>
      </c>
      <c r="G108" s="184">
        <v>3458.84</v>
      </c>
      <c r="H108" s="212">
        <f>3277.18-3277.18+3277.18</f>
        <v>3277.18</v>
      </c>
      <c r="I108" s="192">
        <v>0</v>
      </c>
      <c r="J108" s="195">
        <v>0</v>
      </c>
      <c r="K108" s="238">
        <v>0</v>
      </c>
      <c r="L108" s="306">
        <v>6971.49</v>
      </c>
      <c r="M108" s="212">
        <v>0</v>
      </c>
      <c r="N108" s="217">
        <v>0</v>
      </c>
      <c r="O108" s="220">
        <v>0</v>
      </c>
      <c r="P108" s="304"/>
      <c r="Q108" s="172"/>
      <c r="R108" s="8">
        <f t="shared" si="21"/>
        <v>18964.239999999998</v>
      </c>
      <c r="S108" s="1">
        <f t="shared" si="22"/>
        <v>10</v>
      </c>
      <c r="T108" s="31">
        <f t="shared" si="23"/>
        <v>1896.4239999999998</v>
      </c>
      <c r="V108" s="321">
        <f t="shared" si="13"/>
        <v>0</v>
      </c>
      <c r="W108" s="321">
        <f t="shared" si="20"/>
        <v>0</v>
      </c>
      <c r="X108" s="321">
        <f t="shared" si="20"/>
        <v>0</v>
      </c>
      <c r="Y108" s="321">
        <f t="shared" si="20"/>
        <v>0</v>
      </c>
      <c r="Z108" s="321">
        <f t="shared" si="20"/>
        <v>0</v>
      </c>
      <c r="AA108" s="321">
        <f t="shared" si="20"/>
        <v>0</v>
      </c>
      <c r="AB108" s="321">
        <f t="shared" si="20"/>
        <v>0</v>
      </c>
      <c r="AC108" s="321">
        <f t="shared" si="20"/>
        <v>6971.49</v>
      </c>
      <c r="AD108" s="321">
        <f t="shared" si="20"/>
        <v>0</v>
      </c>
      <c r="AE108" s="321">
        <f t="shared" si="20"/>
        <v>0</v>
      </c>
      <c r="AF108" s="321">
        <f t="shared" si="20"/>
        <v>0</v>
      </c>
      <c r="AG108" s="70">
        <f t="shared" si="14"/>
        <v>6971.49</v>
      </c>
      <c r="AH108" s="321">
        <f t="shared" si="15"/>
        <v>6971.49</v>
      </c>
      <c r="AI108" s="331">
        <f t="shared" si="16"/>
        <v>0</v>
      </c>
    </row>
    <row r="109" spans="1:35" ht="10.5">
      <c r="B109" s="4">
        <v>15025456</v>
      </c>
      <c r="C109" s="4"/>
      <c r="D109" s="1" t="s">
        <v>595</v>
      </c>
      <c r="E109" s="1" t="s">
        <v>596</v>
      </c>
      <c r="F109" s="297"/>
      <c r="G109" s="297"/>
      <c r="H109" s="297"/>
      <c r="I109" s="297"/>
      <c r="J109" s="297"/>
      <c r="K109" s="297"/>
      <c r="L109" s="297"/>
      <c r="M109" s="297"/>
      <c r="N109" s="297"/>
      <c r="O109" s="297"/>
      <c r="P109" s="297"/>
      <c r="Q109" s="297"/>
      <c r="R109" s="8">
        <f t="shared" si="21"/>
        <v>0</v>
      </c>
      <c r="S109" s="1">
        <f t="shared" si="22"/>
        <v>0</v>
      </c>
      <c r="T109" s="32">
        <f t="shared" si="23"/>
        <v>0</v>
      </c>
      <c r="V109" s="321">
        <f t="shared" si="13"/>
        <v>0</v>
      </c>
      <c r="W109" s="321">
        <f t="shared" si="20"/>
        <v>0</v>
      </c>
      <c r="X109" s="321">
        <f t="shared" ref="W109:AF110" si="24">+IF($A109=X$1,SUM($L109:$Q109),0)</f>
        <v>0</v>
      </c>
      <c r="Y109" s="321">
        <f t="shared" si="24"/>
        <v>0</v>
      </c>
      <c r="Z109" s="321">
        <f t="shared" si="24"/>
        <v>0</v>
      </c>
      <c r="AA109" s="321">
        <f t="shared" si="24"/>
        <v>0</v>
      </c>
      <c r="AB109" s="321">
        <f t="shared" si="24"/>
        <v>0</v>
      </c>
      <c r="AC109" s="321">
        <f t="shared" si="24"/>
        <v>0</v>
      </c>
      <c r="AD109" s="321">
        <f t="shared" si="24"/>
        <v>0</v>
      </c>
      <c r="AE109" s="321">
        <f t="shared" si="24"/>
        <v>0</v>
      </c>
      <c r="AF109" s="321">
        <f t="shared" si="24"/>
        <v>0</v>
      </c>
      <c r="AG109" s="70">
        <f t="shared" si="14"/>
        <v>0</v>
      </c>
      <c r="AH109" s="321">
        <f t="shared" si="15"/>
        <v>0</v>
      </c>
      <c r="AI109" s="331">
        <f t="shared" si="16"/>
        <v>0</v>
      </c>
    </row>
    <row r="110" spans="1:35" ht="10.5">
      <c r="A110" s="22" t="s">
        <v>664</v>
      </c>
      <c r="B110" s="51">
        <v>7007701</v>
      </c>
      <c r="C110" s="51">
        <v>122</v>
      </c>
      <c r="D110" s="52" t="s">
        <v>98</v>
      </c>
      <c r="E110" s="52" t="s">
        <v>98</v>
      </c>
      <c r="F110" s="225">
        <v>11268.3</v>
      </c>
      <c r="G110" s="272">
        <v>9356.26</v>
      </c>
      <c r="H110" s="232">
        <v>10568.88</v>
      </c>
      <c r="I110" s="235">
        <v>15498.93</v>
      </c>
      <c r="J110" s="236">
        <v>7574.1</v>
      </c>
      <c r="K110" s="241">
        <v>5304.83</v>
      </c>
      <c r="L110" s="313">
        <v>8297.7900000000009</v>
      </c>
      <c r="M110" s="247">
        <v>8518.56</v>
      </c>
      <c r="N110" s="249">
        <v>9759.48</v>
      </c>
      <c r="O110" s="253">
        <v>11429.46</v>
      </c>
      <c r="P110" s="319">
        <v>9649.98</v>
      </c>
      <c r="Q110" s="260">
        <v>8581.26</v>
      </c>
      <c r="R110" s="33">
        <f t="shared" si="21"/>
        <v>115807.82999999999</v>
      </c>
      <c r="S110" s="22">
        <f t="shared" si="22"/>
        <v>12</v>
      </c>
      <c r="T110" s="34">
        <f t="shared" si="23"/>
        <v>9650.6524999999983</v>
      </c>
      <c r="V110" s="321">
        <f t="shared" si="13"/>
        <v>0</v>
      </c>
      <c r="W110" s="321">
        <f t="shared" si="24"/>
        <v>0</v>
      </c>
      <c r="X110" s="321">
        <f t="shared" si="24"/>
        <v>0</v>
      </c>
      <c r="Y110" s="321">
        <f t="shared" si="24"/>
        <v>0</v>
      </c>
      <c r="Z110" s="321">
        <f t="shared" si="24"/>
        <v>0</v>
      </c>
      <c r="AA110" s="321">
        <f t="shared" si="24"/>
        <v>0</v>
      </c>
      <c r="AB110" s="321">
        <f t="shared" si="24"/>
        <v>0</v>
      </c>
      <c r="AC110" s="321">
        <f t="shared" si="24"/>
        <v>0</v>
      </c>
      <c r="AD110" s="321">
        <f t="shared" si="24"/>
        <v>0</v>
      </c>
      <c r="AE110" s="321">
        <f t="shared" si="24"/>
        <v>56236.529999999992</v>
      </c>
      <c r="AF110" s="321">
        <f t="shared" si="24"/>
        <v>0</v>
      </c>
      <c r="AG110" s="70">
        <f t="shared" si="14"/>
        <v>56236.529999999992</v>
      </c>
      <c r="AH110" s="321">
        <f t="shared" si="15"/>
        <v>56236.529999999992</v>
      </c>
      <c r="AI110" s="331">
        <f t="shared" si="16"/>
        <v>0</v>
      </c>
    </row>
    <row r="111" spans="1:35">
      <c r="F111" s="31"/>
      <c r="G111" s="31"/>
      <c r="H111" s="31"/>
      <c r="I111" s="31"/>
      <c r="J111" s="31"/>
      <c r="K111" s="31"/>
      <c r="L111" s="31"/>
    </row>
    <row r="112" spans="1:35">
      <c r="D112" s="1" t="s">
        <v>140</v>
      </c>
      <c r="E112" s="1" t="s">
        <v>140</v>
      </c>
      <c r="F112" s="31">
        <f>+SUM(F3:F110)</f>
        <v>1056717.3300000003</v>
      </c>
      <c r="G112" s="31">
        <f>+SUM(G3:G110)</f>
        <v>869415.05</v>
      </c>
      <c r="H112" s="31">
        <f>+SUM(H3:H110)</f>
        <v>974378.93999999959</v>
      </c>
      <c r="I112" s="31">
        <f t="shared" ref="I112:Q112" si="25">+SUM(I2:I110)</f>
        <v>1484519.9900000005</v>
      </c>
      <c r="J112" s="31">
        <f t="shared" si="25"/>
        <v>742131.7200000002</v>
      </c>
      <c r="K112" s="31">
        <f t="shared" si="25"/>
        <v>541124.42000000004</v>
      </c>
      <c r="L112" s="31">
        <f t="shared" si="25"/>
        <v>559503.48000000021</v>
      </c>
      <c r="M112" s="31">
        <f t="shared" si="25"/>
        <v>623885.20000000007</v>
      </c>
      <c r="N112" s="31">
        <f t="shared" si="25"/>
        <v>842073.71999999986</v>
      </c>
      <c r="O112" s="31">
        <f t="shared" si="25"/>
        <v>1163995.0000000007</v>
      </c>
      <c r="P112" s="31">
        <f t="shared" si="25"/>
        <v>1068166.2599999998</v>
      </c>
      <c r="Q112" s="31">
        <f t="shared" si="25"/>
        <v>927785.49000000011</v>
      </c>
      <c r="R112" s="31">
        <f>SUM(R6:R110)</f>
        <v>10540168.609999996</v>
      </c>
      <c r="T112" s="31">
        <f>+R112/10</f>
        <v>1054016.8609999996</v>
      </c>
      <c r="V112" s="70">
        <f>+SUM(V2:V110)</f>
        <v>10751.36</v>
      </c>
      <c r="W112" s="70">
        <f t="shared" ref="W112:AI112" si="26">+SUM(W2:W110)</f>
        <v>400599.28</v>
      </c>
      <c r="X112" s="70">
        <f t="shared" si="26"/>
        <v>791004.94</v>
      </c>
      <c r="Y112" s="70">
        <f t="shared" si="26"/>
        <v>557990.87999999989</v>
      </c>
      <c r="Z112" s="70">
        <f t="shared" si="26"/>
        <v>100527.92000000001</v>
      </c>
      <c r="AA112" s="70">
        <f t="shared" si="26"/>
        <v>1295682.23</v>
      </c>
      <c r="AB112" s="70">
        <f t="shared" si="26"/>
        <v>383466.74000000005</v>
      </c>
      <c r="AC112" s="70">
        <f t="shared" si="26"/>
        <v>413223.97</v>
      </c>
      <c r="AD112" s="70">
        <f t="shared" si="26"/>
        <v>479324.53</v>
      </c>
      <c r="AE112" s="70">
        <f t="shared" si="26"/>
        <v>470838.58999999991</v>
      </c>
      <c r="AF112" s="70">
        <f t="shared" si="26"/>
        <v>281998.70999999996</v>
      </c>
      <c r="AG112" s="70">
        <f t="shared" si="26"/>
        <v>5185409.1500000004</v>
      </c>
      <c r="AH112" s="70">
        <f t="shared" si="26"/>
        <v>5185409.1500000004</v>
      </c>
      <c r="AI112" s="70">
        <f t="shared" si="26"/>
        <v>0</v>
      </c>
    </row>
    <row r="113" spans="2:36">
      <c r="D113" s="1" t="s">
        <v>348</v>
      </c>
      <c r="E113" s="1" t="s">
        <v>348</v>
      </c>
      <c r="F113" s="68">
        <f>-F53-F11-F10-F12-F91</f>
        <v>-1943.03</v>
      </c>
      <c r="G113" s="68">
        <f>-G75-G29-G25-G10-G58-G91</f>
        <v>-17553.560000000001</v>
      </c>
      <c r="H113" s="68">
        <f>-H108-H65-H67-H50-H11-H91</f>
        <v>-12674.04</v>
      </c>
      <c r="I113" s="68">
        <f>-I108-I72-I69-I65-I58-I38-I26-I14-I11+J2-I10-I91</f>
        <v>-56424.319999999992</v>
      </c>
      <c r="J113" s="68">
        <f>-J105-J108-J74-J69-J67-J62-J56-J59-J58-J52-J44-J38-J35-J24-J25-J26-J10-J11-J5-J2-J91</f>
        <v>-53780.530000000006</v>
      </c>
      <c r="K113" s="68">
        <f>-K105-K74-K65-K67-K62-K58-K55-K29-K25-K24-K13-K10-K5-K26-K91</f>
        <v>-38800.550000000003</v>
      </c>
      <c r="L113" s="68">
        <f>-L106-L98-L86-L74-L76-L67-L69-L62-L50-L24-L29-L26-L20-L27-L12-L13-L5-L10-L91</f>
        <v>-28561.94</v>
      </c>
      <c r="M113" s="68">
        <f>-M108-M99-M98-M69-M65-M62-M38-M29-M10-M11-M13-M5-M2-2.8-M74-M83-M91</f>
        <v>-18149.840000000004</v>
      </c>
      <c r="N113" s="68">
        <f>-N108-N99-O113-N65-N69-N67-N39-N38-N29-N24-N11-N12-N10-N13-N5-N83-N91</f>
        <v>42520.479999999989</v>
      </c>
      <c r="O113" s="68">
        <f>-O108-O99-O73-O69-O62-O38-O29-O27-O26-O24-O13-O12-O10-O5-O83-O91</f>
        <v>-71874.42</v>
      </c>
      <c r="P113" s="68">
        <f>-P108-P99-P84-P69-P38-P29-P26-P25-P24-P13-P12-P11-P10-P91</f>
        <v>-40423.639999999992</v>
      </c>
      <c r="Q113" s="68">
        <f>-Q108-Q99-Q84-Q83-Q78-Q71-Q69-Q67-Q38-Q26-Q25-Q24-Q13-Q12-Q11-Q10-Q5-Q91</f>
        <v>-63208.88</v>
      </c>
      <c r="R113" s="31">
        <f t="shared" ref="R113:R119" si="27">+SUM(F113:Q113)</f>
        <v>-360874.27000000008</v>
      </c>
      <c r="V113" s="70">
        <f>+SUM(V112:AF112)</f>
        <v>5185409.1500000004</v>
      </c>
    </row>
    <row r="114" spans="2:36">
      <c r="D114" s="1" t="s">
        <v>349</v>
      </c>
      <c r="E114" s="1" t="s">
        <v>349</v>
      </c>
      <c r="F114" s="68">
        <f>'2015'!R12+'2015'!Q12+'2015'!R36+'2015'!R62+'2015'!R67+'2015'!R77+'2015'!R81+'2015'!R85+'2015'!R84+'2015'!R108+5500-606</f>
        <v>33935.1</v>
      </c>
      <c r="G114" s="68">
        <f>'2015'!O41+F11+5500+34366.3</f>
        <v>55896.490000000005</v>
      </c>
      <c r="H114" s="68">
        <f>G75+G58+G29+G25+F10+'2015'!R61+'2015'!R11+1475+4439.7+1475.51</f>
        <v>54578.71</v>
      </c>
      <c r="I114" s="68">
        <f>H67+H11+1603.83+4963.79+536.21</f>
        <v>8895.82</v>
      </c>
      <c r="J114" s="68">
        <f>I72+I65+I58</f>
        <v>36424.14</v>
      </c>
      <c r="K114" s="68">
        <f>J105+J69+I69+J62+J58+J56+J52+H50+J44+J35+I14+I11+J11+5500+5500</f>
        <v>88858.7</v>
      </c>
      <c r="L114" s="68">
        <f>5500+K62+K58+K55+K25+K105</f>
        <v>31470.880000000001</v>
      </c>
      <c r="M114" s="68">
        <f>L76+L27+K24+J24+L13+K13</f>
        <v>42400.06</v>
      </c>
      <c r="N114" s="68">
        <f>M65+M62+L62+M13+M2+5500+53.77+M74</f>
        <v>21941.420000000002</v>
      </c>
      <c r="O114" s="68">
        <f>5500+5500+N39+N29+N13+M11+1716.31</f>
        <v>36447.11</v>
      </c>
      <c r="P114" s="68">
        <f>O83+M83+O62+O27</f>
        <v>30550.239999999998</v>
      </c>
      <c r="Q114" s="68">
        <f>5500+5500+P11+O13+P25+O29+P29</f>
        <v>50921.32</v>
      </c>
      <c r="R114" s="31">
        <f t="shared" si="27"/>
        <v>492319.99</v>
      </c>
    </row>
    <row r="115" spans="2:36">
      <c r="D115" s="1" t="s">
        <v>301</v>
      </c>
      <c r="E115" s="1" t="s">
        <v>301</v>
      </c>
      <c r="F115" s="69">
        <f t="shared" ref="F115:Q115" si="28">+SUM(F112:F114)</f>
        <v>1088709.4000000004</v>
      </c>
      <c r="G115" s="300">
        <f t="shared" si="28"/>
        <v>907757.98</v>
      </c>
      <c r="H115" s="300">
        <f t="shared" si="28"/>
        <v>1016283.6099999995</v>
      </c>
      <c r="I115" s="300">
        <f t="shared" si="28"/>
        <v>1436991.4900000005</v>
      </c>
      <c r="J115" s="300">
        <f t="shared" si="28"/>
        <v>724775.33000000019</v>
      </c>
      <c r="K115" s="69">
        <f t="shared" si="28"/>
        <v>591182.57000000007</v>
      </c>
      <c r="L115" s="300">
        <f t="shared" si="28"/>
        <v>562412.42000000027</v>
      </c>
      <c r="M115" s="300">
        <f t="shared" si="28"/>
        <v>648135.42000000016</v>
      </c>
      <c r="N115" s="69">
        <f t="shared" si="28"/>
        <v>906535.61999999988</v>
      </c>
      <c r="O115" s="300">
        <f t="shared" si="28"/>
        <v>1128567.6900000009</v>
      </c>
      <c r="P115" s="300">
        <f t="shared" si="28"/>
        <v>1058292.8599999999</v>
      </c>
      <c r="Q115" s="300">
        <f t="shared" si="28"/>
        <v>915497.93</v>
      </c>
      <c r="R115" s="34">
        <f t="shared" si="27"/>
        <v>10985142.32</v>
      </c>
    </row>
    <row r="116" spans="2:36">
      <c r="D116" s="67" t="s">
        <v>304</v>
      </c>
      <c r="E116" s="67" t="s">
        <v>304</v>
      </c>
      <c r="F116" s="68">
        <f t="shared" ref="F116:Q116" si="29">+F115/6*4</f>
        <v>725806.26666666695</v>
      </c>
      <c r="G116" s="301">
        <f t="shared" si="29"/>
        <v>605171.98666666669</v>
      </c>
      <c r="H116" s="301">
        <f t="shared" si="29"/>
        <v>677522.40666666639</v>
      </c>
      <c r="I116" s="301">
        <f t="shared" si="29"/>
        <v>957994.32666666701</v>
      </c>
      <c r="J116" s="301">
        <f t="shared" si="29"/>
        <v>483183.55333333346</v>
      </c>
      <c r="K116" s="68">
        <f t="shared" si="29"/>
        <v>394121.71333333338</v>
      </c>
      <c r="L116" s="301">
        <f t="shared" si="29"/>
        <v>374941.61333333352</v>
      </c>
      <c r="M116" s="301">
        <f t="shared" si="29"/>
        <v>432090.28000000009</v>
      </c>
      <c r="N116" s="68">
        <f t="shared" si="29"/>
        <v>604357.07999999996</v>
      </c>
      <c r="O116" s="301">
        <f t="shared" si="29"/>
        <v>752378.46000000054</v>
      </c>
      <c r="P116" s="301">
        <f t="shared" si="29"/>
        <v>705528.57333333325</v>
      </c>
      <c r="Q116" s="301">
        <f t="shared" si="29"/>
        <v>610331.95333333337</v>
      </c>
      <c r="R116" s="31">
        <f t="shared" si="27"/>
        <v>7323428.2133333357</v>
      </c>
      <c r="T116" s="8">
        <f>+R116-Q116-P116</f>
        <v>6007567.6866666693</v>
      </c>
      <c r="U116" s="8">
        <f>+'2017'!R109</f>
        <v>7275616.3237647051</v>
      </c>
      <c r="AJ116" s="76">
        <f>+U116/T116</f>
        <v>1.2110752143354742</v>
      </c>
    </row>
    <row r="117" spans="2:36">
      <c r="D117" s="67" t="s">
        <v>305</v>
      </c>
      <c r="E117" s="67" t="s">
        <v>305</v>
      </c>
      <c r="F117" s="68">
        <f t="shared" ref="F117:Q117" si="30">+F115/6*2</f>
        <v>362903.13333333348</v>
      </c>
      <c r="G117" s="301">
        <f t="shared" si="30"/>
        <v>302585.99333333335</v>
      </c>
      <c r="H117" s="301">
        <f t="shared" si="30"/>
        <v>338761.20333333319</v>
      </c>
      <c r="I117" s="301">
        <f t="shared" si="30"/>
        <v>478997.1633333335</v>
      </c>
      <c r="J117" s="301">
        <f t="shared" si="30"/>
        <v>241591.77666666673</v>
      </c>
      <c r="K117" s="68">
        <f t="shared" si="30"/>
        <v>197060.85666666669</v>
      </c>
      <c r="L117" s="301">
        <f t="shared" si="30"/>
        <v>187470.80666666676</v>
      </c>
      <c r="M117" s="301">
        <f t="shared" si="30"/>
        <v>216045.14000000004</v>
      </c>
      <c r="N117" s="68">
        <f t="shared" si="30"/>
        <v>302178.53999999998</v>
      </c>
      <c r="O117" s="301">
        <f t="shared" si="30"/>
        <v>376189.23000000027</v>
      </c>
      <c r="P117" s="68">
        <f t="shared" si="30"/>
        <v>352764.28666666662</v>
      </c>
      <c r="Q117" s="301">
        <f t="shared" si="30"/>
        <v>305165.97666666668</v>
      </c>
      <c r="R117" s="31">
        <f t="shared" si="27"/>
        <v>3661714.1066666679</v>
      </c>
      <c r="T117" s="68">
        <f>+T116*14.285714</f>
        <v>85822393.807361647</v>
      </c>
      <c r="U117" s="68">
        <f>+U116*14.285714</f>
        <v>103937373.97503398</v>
      </c>
      <c r="AJ117" s="76">
        <f>+U117/T117</f>
        <v>1.2110752143354742</v>
      </c>
    </row>
    <row r="118" spans="2:36">
      <c r="D118" s="1" t="s">
        <v>302</v>
      </c>
      <c r="E118" s="1" t="s">
        <v>302</v>
      </c>
      <c r="F118" s="312">
        <f t="shared" ref="F118:Q118" si="31">+F117*0.01</f>
        <v>3629.0313333333347</v>
      </c>
      <c r="G118" s="252">
        <f t="shared" si="31"/>
        <v>3025.8599333333336</v>
      </c>
      <c r="H118" s="252">
        <f t="shared" si="31"/>
        <v>3387.612033333332</v>
      </c>
      <c r="I118" s="301">
        <f t="shared" si="31"/>
        <v>4789.9716333333354</v>
      </c>
      <c r="J118" s="301">
        <f t="shared" si="31"/>
        <v>2415.9177666666674</v>
      </c>
      <c r="K118" s="68">
        <f t="shared" si="31"/>
        <v>1970.608566666667</v>
      </c>
      <c r="L118" s="301">
        <f t="shared" si="31"/>
        <v>1874.7080666666677</v>
      </c>
      <c r="M118" s="301">
        <f t="shared" si="31"/>
        <v>2160.4514000000004</v>
      </c>
      <c r="N118" s="68">
        <f t="shared" si="31"/>
        <v>3021.7853999999998</v>
      </c>
      <c r="O118" s="301">
        <f t="shared" si="31"/>
        <v>3761.8923000000027</v>
      </c>
      <c r="P118" s="68">
        <f t="shared" si="31"/>
        <v>3527.6428666666661</v>
      </c>
      <c r="Q118" s="301">
        <f t="shared" si="31"/>
        <v>3051.6597666666671</v>
      </c>
      <c r="R118" s="31">
        <f t="shared" si="27"/>
        <v>36617.141066666671</v>
      </c>
      <c r="T118" s="68">
        <f>+T117*0.07</f>
        <v>6007567.5665153163</v>
      </c>
      <c r="U118" s="68">
        <f>+U117*0.07</f>
        <v>7275616.1782523794</v>
      </c>
    </row>
    <row r="119" spans="2:36">
      <c r="D119" s="1" t="s">
        <v>303</v>
      </c>
      <c r="E119" s="1" t="s">
        <v>303</v>
      </c>
      <c r="F119" s="71">
        <f t="shared" ref="F119:Q119" si="32">+F116-F118</f>
        <v>722177.23533333361</v>
      </c>
      <c r="G119" s="298">
        <f t="shared" si="32"/>
        <v>602146.12673333334</v>
      </c>
      <c r="H119" s="298">
        <f t="shared" si="32"/>
        <v>674134.79463333311</v>
      </c>
      <c r="I119" s="298">
        <f t="shared" si="32"/>
        <v>953204.35503333365</v>
      </c>
      <c r="J119" s="298">
        <f t="shared" si="32"/>
        <v>480767.63556666678</v>
      </c>
      <c r="K119" s="71">
        <f t="shared" si="32"/>
        <v>392151.10476666671</v>
      </c>
      <c r="L119" s="298">
        <f t="shared" si="32"/>
        <v>373066.90526666684</v>
      </c>
      <c r="M119" s="298">
        <f t="shared" si="32"/>
        <v>429929.82860000007</v>
      </c>
      <c r="N119" s="71">
        <f t="shared" si="32"/>
        <v>601335.29459999991</v>
      </c>
      <c r="O119" s="298">
        <f t="shared" si="32"/>
        <v>748616.5677000006</v>
      </c>
      <c r="P119" s="71">
        <f t="shared" si="32"/>
        <v>702000.93046666658</v>
      </c>
      <c r="Q119" s="298">
        <f t="shared" si="32"/>
        <v>607280.29356666666</v>
      </c>
      <c r="R119" s="34">
        <f t="shared" si="27"/>
        <v>7286811.0722666671</v>
      </c>
    </row>
    <row r="120" spans="2:36">
      <c r="F120" s="10">
        <v>722061.28</v>
      </c>
      <c r="G120" s="70"/>
      <c r="H120" s="70"/>
      <c r="I120" s="70"/>
      <c r="J120" s="70"/>
      <c r="K120" s="68"/>
      <c r="L120" s="70"/>
      <c r="N120" s="70"/>
      <c r="O120" s="68"/>
      <c r="R120" s="31"/>
    </row>
    <row r="121" spans="2:36">
      <c r="E121" s="1" t="s">
        <v>637</v>
      </c>
      <c r="F121" s="70">
        <v>699281.8</v>
      </c>
      <c r="G121" s="299">
        <v>602146.13</v>
      </c>
      <c r="H121" s="299">
        <v>673705.36</v>
      </c>
      <c r="I121" s="299">
        <v>949235.73</v>
      </c>
      <c r="J121" s="299">
        <f>470231.65+9000</f>
        <v>479231.65</v>
      </c>
      <c r="K121" s="299">
        <v>389989.38</v>
      </c>
      <c r="L121" s="299">
        <v>373356.22</v>
      </c>
      <c r="M121" s="299">
        <v>432008.27</v>
      </c>
      <c r="N121" s="70">
        <v>551614.18999999994</v>
      </c>
      <c r="O121" s="299">
        <v>745592.1</v>
      </c>
      <c r="P121" s="70">
        <v>699129.46</v>
      </c>
      <c r="Q121" s="8">
        <v>607280.29</v>
      </c>
      <c r="R121" s="70">
        <f>SUM(F121:Q121)</f>
        <v>7202570.5799999982</v>
      </c>
    </row>
    <row r="122" spans="2:36">
      <c r="E122" s="1" t="s">
        <v>648</v>
      </c>
      <c r="F122" s="70">
        <f t="shared" ref="F122:Q122" si="33">F121-F119</f>
        <v>-22895.43533333356</v>
      </c>
      <c r="G122" s="70">
        <f t="shared" si="33"/>
        <v>3.2666666666045785E-3</v>
      </c>
      <c r="H122" s="70">
        <f t="shared" si="33"/>
        <v>-429.43463333311956</v>
      </c>
      <c r="I122" s="70">
        <f t="shared" si="33"/>
        <v>-3968.6250333336648</v>
      </c>
      <c r="J122" s="70">
        <f t="shared" si="33"/>
        <v>-1535.9855666667572</v>
      </c>
      <c r="K122" s="299">
        <f t="shared" si="33"/>
        <v>-2161.7247666667099</v>
      </c>
      <c r="L122" s="299">
        <f t="shared" si="33"/>
        <v>289.31473333312897</v>
      </c>
      <c r="M122" s="299">
        <f t="shared" si="33"/>
        <v>2078.4413999999524</v>
      </c>
      <c r="N122" s="70">
        <f t="shared" si="33"/>
        <v>-49721.104599999962</v>
      </c>
      <c r="O122" s="70">
        <f t="shared" si="33"/>
        <v>-3024.4677000006195</v>
      </c>
      <c r="P122" s="70">
        <f t="shared" si="33"/>
        <v>-2871.4704666666221</v>
      </c>
      <c r="Q122" s="70">
        <f t="shared" si="33"/>
        <v>-3.566666622646153E-3</v>
      </c>
      <c r="R122" s="70">
        <f>SUM(F122:Q122)</f>
        <v>-84240.49226666789</v>
      </c>
    </row>
    <row r="123" spans="2:36">
      <c r="D123" s="70"/>
      <c r="E123" s="70"/>
      <c r="F123" s="70"/>
      <c r="G123" s="70"/>
      <c r="H123" s="70"/>
      <c r="I123" s="8"/>
      <c r="J123" s="70"/>
      <c r="M123" s="70"/>
      <c r="N123" s="70"/>
      <c r="O123" s="70"/>
    </row>
    <row r="124" spans="2:36" s="137" customFormat="1">
      <c r="B124" s="137" t="s">
        <v>390</v>
      </c>
      <c r="P124" s="68"/>
      <c r="R124" s="137">
        <f>+SUM(F124:Q124)</f>
        <v>0</v>
      </c>
    </row>
    <row r="125" spans="2:36" s="158" customFormat="1">
      <c r="B125" s="158" t="s">
        <v>389</v>
      </c>
      <c r="M125" s="158">
        <f>+M124*0.06</f>
        <v>0</v>
      </c>
      <c r="N125" s="158">
        <f>+N124*0.06</f>
        <v>0</v>
      </c>
      <c r="O125" s="158">
        <f>+O124*0.06</f>
        <v>0</v>
      </c>
      <c r="P125" s="158">
        <f>+P124*0.06</f>
        <v>0</v>
      </c>
      <c r="Q125" s="158">
        <f>+Q124*0.06</f>
        <v>0</v>
      </c>
      <c r="R125" s="137">
        <f>+SUM(F125:Q125)</f>
        <v>0</v>
      </c>
    </row>
    <row r="126" spans="2:36" s="158" customFormat="1">
      <c r="B126" s="159" t="s">
        <v>391</v>
      </c>
      <c r="C126" s="159"/>
      <c r="D126" s="159"/>
      <c r="E126" s="159"/>
      <c r="F126" s="219">
        <f t="shared" ref="F126:N126" si="34">+F115-F125</f>
        <v>1088709.4000000004</v>
      </c>
      <c r="G126" s="219">
        <f t="shared" si="34"/>
        <v>907757.98</v>
      </c>
      <c r="H126" s="219">
        <f t="shared" si="34"/>
        <v>1016283.6099999995</v>
      </c>
      <c r="I126" s="219">
        <f t="shared" si="34"/>
        <v>1436991.4900000005</v>
      </c>
      <c r="J126" s="219">
        <f t="shared" si="34"/>
        <v>724775.33000000019</v>
      </c>
      <c r="K126" s="219">
        <f t="shared" si="34"/>
        <v>591182.57000000007</v>
      </c>
      <c r="L126" s="219">
        <f t="shared" si="34"/>
        <v>562412.42000000027</v>
      </c>
      <c r="M126" s="219">
        <f t="shared" si="34"/>
        <v>648135.42000000016</v>
      </c>
      <c r="N126" s="219">
        <f t="shared" si="34"/>
        <v>906535.61999999988</v>
      </c>
      <c r="O126" s="159"/>
      <c r="P126" s="159"/>
      <c r="Q126" s="159"/>
      <c r="R126" s="160">
        <f>+SUM(F126:Q126)</f>
        <v>7882783.8400000008</v>
      </c>
    </row>
    <row r="127" spans="2:36" s="78" customFormat="1">
      <c r="B127" s="78" t="s">
        <v>392</v>
      </c>
      <c r="F127" s="78" t="str">
        <f t="shared" ref="F127:Q127" si="35">+IF(F124=0," ",F126/F125)</f>
        <v xml:space="preserve"> </v>
      </c>
      <c r="G127" s="78" t="str">
        <f t="shared" si="35"/>
        <v xml:space="preserve"> </v>
      </c>
      <c r="H127" s="78" t="str">
        <f t="shared" si="35"/>
        <v xml:space="preserve"> </v>
      </c>
      <c r="I127" s="78" t="str">
        <f t="shared" si="35"/>
        <v xml:space="preserve"> </v>
      </c>
      <c r="J127" s="78" t="str">
        <f t="shared" si="35"/>
        <v xml:space="preserve"> </v>
      </c>
      <c r="K127" s="78" t="str">
        <f t="shared" si="35"/>
        <v xml:space="preserve"> </v>
      </c>
      <c r="L127" s="78" t="str">
        <f t="shared" si="35"/>
        <v xml:space="preserve"> </v>
      </c>
      <c r="M127" s="78" t="str">
        <f t="shared" si="35"/>
        <v xml:space="preserve"> </v>
      </c>
      <c r="N127" s="78" t="str">
        <f t="shared" si="35"/>
        <v xml:space="preserve"> </v>
      </c>
      <c r="O127" s="78" t="str">
        <f t="shared" si="35"/>
        <v xml:space="preserve"> </v>
      </c>
      <c r="P127" s="78" t="str">
        <f t="shared" si="35"/>
        <v xml:space="preserve"> </v>
      </c>
      <c r="Q127" s="78" t="str">
        <f t="shared" si="35"/>
        <v xml:space="preserve"> </v>
      </c>
      <c r="R127" s="78" t="e">
        <f>+R126/R125</f>
        <v>#DIV/0!</v>
      </c>
    </row>
  </sheetData>
  <sortState xmlns:xlrd2="http://schemas.microsoft.com/office/spreadsheetml/2017/richdata2" ref="A2:T106">
    <sortCondition ref="E2:E106"/>
  </sortState>
  <printOptions horizontalCentered="1"/>
  <pageMargins left="0.25" right="0.25" top="0.5" bottom="0.25" header="0.25" footer="0.25"/>
  <pageSetup scale="34" fitToHeight="2" orientation="landscape" r:id="rId1"/>
  <headerFooter alignWithMargins="0">
    <oddHeader>&amp;C&amp;"Arial,Bold"&amp;11Occupancy Tax Receipts
Fiscal Year 2013</oddHead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I125"/>
  <sheetViews>
    <sheetView zoomScale="125" workbookViewId="0">
      <pane xSplit="5" ySplit="1" topLeftCell="AA92" activePane="bottomRight" state="frozen"/>
      <selection pane="topRight" activeCell="C1" sqref="C1"/>
      <selection pane="bottomLeft" activeCell="A2" sqref="A2"/>
      <selection pane="bottomRight" activeCell="AA1" sqref="AA1:AA1048576"/>
    </sheetView>
  </sheetViews>
  <sheetFormatPr defaultColWidth="9.08984375" defaultRowHeight="10"/>
  <cols>
    <col min="1" max="1" width="10.54296875" style="1" customWidth="1"/>
    <col min="2" max="2" width="9.36328125" style="1" customWidth="1"/>
    <col min="3" max="3" width="7.90625" style="1" hidden="1" customWidth="1"/>
    <col min="4" max="4" width="27.36328125" style="1" customWidth="1"/>
    <col min="5" max="5" width="26.08984375" style="1" customWidth="1"/>
    <col min="6" max="8" width="12" style="1" bestFit="1" customWidth="1"/>
    <col min="9" max="9" width="13.453125" style="1" bestFit="1" customWidth="1"/>
    <col min="10" max="10" width="12" style="1" customWidth="1"/>
    <col min="11" max="13" width="10.6328125" style="1" customWidth="1"/>
    <col min="14" max="14" width="11.54296875" style="1" customWidth="1"/>
    <col min="15" max="15" width="11.36328125" style="1" customWidth="1"/>
    <col min="16" max="16" width="12" style="1" customWidth="1"/>
    <col min="17" max="17" width="11.90625" style="1" customWidth="1"/>
    <col min="18" max="18" width="13.6328125" style="1" customWidth="1"/>
    <col min="19" max="19" width="9.08984375" style="1" hidden="1" customWidth="1"/>
    <col min="20" max="20" width="11.90625" style="1" customWidth="1"/>
    <col min="21" max="21" width="9.08984375" style="1"/>
    <col min="22" max="22" width="10.453125" style="1" customWidth="1"/>
    <col min="23" max="23" width="9.08984375" style="1" customWidth="1"/>
    <col min="24" max="24" width="10.453125" style="1" bestFit="1" customWidth="1"/>
    <col min="25" max="26" width="9.08984375" style="1" customWidth="1"/>
    <col min="27" max="27" width="10.453125" style="1" bestFit="1" customWidth="1"/>
    <col min="28" max="32" width="9.08984375" style="1" customWidth="1"/>
    <col min="33" max="33" width="10.453125" style="1" customWidth="1"/>
    <col min="34" max="34" width="10.453125" style="1" bestFit="1" customWidth="1"/>
    <col min="35" max="35" width="9.08984375" style="1" customWidth="1"/>
    <col min="36" max="16384" width="9.08984375" style="1"/>
  </cols>
  <sheetData>
    <row r="1" spans="1:35" s="17" customFormat="1" ht="21">
      <c r="A1" s="17" t="s">
        <v>523</v>
      </c>
      <c r="B1" s="14" t="s">
        <v>82</v>
      </c>
      <c r="C1" s="20" t="s">
        <v>370</v>
      </c>
      <c r="D1" s="15" t="s">
        <v>524</v>
      </c>
      <c r="E1" s="15" t="s">
        <v>0</v>
      </c>
      <c r="F1" s="284" t="s">
        <v>672</v>
      </c>
      <c r="G1" s="261" t="s">
        <v>673</v>
      </c>
      <c r="H1" s="262" t="s">
        <v>674</v>
      </c>
      <c r="I1" s="263" t="s">
        <v>675</v>
      </c>
      <c r="J1" s="264" t="s">
        <v>676</v>
      </c>
      <c r="K1" s="265" t="s">
        <v>677</v>
      </c>
      <c r="L1" s="266" t="s">
        <v>678</v>
      </c>
      <c r="M1" s="267" t="s">
        <v>679</v>
      </c>
      <c r="N1" s="268" t="s">
        <v>683</v>
      </c>
      <c r="O1" s="269" t="s">
        <v>682</v>
      </c>
      <c r="P1" s="270" t="s">
        <v>681</v>
      </c>
      <c r="Q1" s="143" t="s">
        <v>680</v>
      </c>
      <c r="R1" s="64" t="s">
        <v>143</v>
      </c>
      <c r="S1" s="64"/>
      <c r="T1" s="64" t="s">
        <v>142</v>
      </c>
      <c r="V1" s="17" t="s">
        <v>539</v>
      </c>
      <c r="W1" s="17" t="s">
        <v>537</v>
      </c>
      <c r="X1" s="17" t="s">
        <v>531</v>
      </c>
      <c r="Y1" s="17" t="s">
        <v>530</v>
      </c>
      <c r="Z1" s="17" t="s">
        <v>662</v>
      </c>
      <c r="AA1" s="17" t="s">
        <v>535</v>
      </c>
      <c r="AB1" s="17" t="s">
        <v>533</v>
      </c>
      <c r="AC1" s="17" t="s">
        <v>659</v>
      </c>
      <c r="AD1" s="17" t="s">
        <v>658</v>
      </c>
      <c r="AE1" s="17" t="s">
        <v>660</v>
      </c>
      <c r="AF1" s="17" t="s">
        <v>705</v>
      </c>
    </row>
    <row r="2" spans="1:35" s="17" customFormat="1" ht="10.5">
      <c r="A2" s="1" t="s">
        <v>530</v>
      </c>
      <c r="B2" s="4">
        <v>15037103</v>
      </c>
      <c r="C2" s="4"/>
      <c r="D2" s="1" t="s">
        <v>604</v>
      </c>
      <c r="E2" s="1" t="s">
        <v>499</v>
      </c>
      <c r="F2" s="181">
        <v>23746.27</v>
      </c>
      <c r="G2" s="184">
        <v>16345.48</v>
      </c>
      <c r="H2" s="229">
        <v>25038.2</v>
      </c>
      <c r="I2" s="192">
        <v>36722.660000000003</v>
      </c>
      <c r="J2" s="195">
        <v>24070.29</v>
      </c>
      <c r="K2" s="238">
        <v>15290</v>
      </c>
      <c r="L2" s="306">
        <v>15524.81</v>
      </c>
      <c r="M2" s="217">
        <v>16291.19</v>
      </c>
      <c r="N2" s="217">
        <v>29037.71</v>
      </c>
      <c r="O2" s="220">
        <v>36360.6</v>
      </c>
      <c r="P2" s="304">
        <v>35000.370000000003</v>
      </c>
      <c r="Q2" s="172">
        <v>33185.71</v>
      </c>
      <c r="R2" s="8">
        <f t="shared" ref="R2:R27" si="0">+SUM(F2:Q2)</f>
        <v>306613.29000000004</v>
      </c>
      <c r="S2" s="1">
        <f t="shared" ref="S2:S54" si="1">COUNT(F2:Q2)</f>
        <v>12</v>
      </c>
      <c r="T2" s="31">
        <f t="shared" ref="T2:T54" si="2">+IF(R2=0,0,R2/S2)</f>
        <v>25551.107500000002</v>
      </c>
      <c r="V2" s="321">
        <f>+IF($A2=V$1,SUM($F2:$K2),0)</f>
        <v>0</v>
      </c>
      <c r="W2" s="321">
        <f t="shared" ref="W2:AF17" si="3">+IF($A2=W$1,SUM($F2:$K2),0)</f>
        <v>0</v>
      </c>
      <c r="X2" s="321">
        <f t="shared" si="3"/>
        <v>0</v>
      </c>
      <c r="Y2" s="321">
        <f t="shared" si="3"/>
        <v>141212.9</v>
      </c>
      <c r="Z2" s="321">
        <f t="shared" si="3"/>
        <v>0</v>
      </c>
      <c r="AA2" s="321">
        <f t="shared" si="3"/>
        <v>0</v>
      </c>
      <c r="AB2" s="321">
        <f t="shared" si="3"/>
        <v>0</v>
      </c>
      <c r="AC2" s="321">
        <f t="shared" si="3"/>
        <v>0</v>
      </c>
      <c r="AD2" s="321">
        <f t="shared" si="3"/>
        <v>0</v>
      </c>
      <c r="AE2" s="321">
        <f t="shared" si="3"/>
        <v>0</v>
      </c>
      <c r="AF2" s="321">
        <f t="shared" si="3"/>
        <v>0</v>
      </c>
      <c r="AG2" s="70">
        <f>+SUM(V2:AF2)</f>
        <v>141212.9</v>
      </c>
      <c r="AH2" s="321">
        <f>+SUM(F2:K2)</f>
        <v>141212.9</v>
      </c>
      <c r="AI2" s="331">
        <f>+AG2-AH2</f>
        <v>0</v>
      </c>
    </row>
    <row r="3" spans="1:35" s="17" customFormat="1" ht="10.5">
      <c r="A3" s="1" t="s">
        <v>531</v>
      </c>
      <c r="B3" s="4">
        <v>15037984</v>
      </c>
      <c r="C3" s="4"/>
      <c r="D3" s="1" t="s">
        <v>652</v>
      </c>
      <c r="E3" s="1" t="s">
        <v>653</v>
      </c>
      <c r="F3" s="181">
        <v>15997</v>
      </c>
      <c r="G3" s="184">
        <v>15559</v>
      </c>
      <c r="H3" s="229">
        <v>27417</v>
      </c>
      <c r="I3" s="192">
        <v>46110</v>
      </c>
      <c r="J3" s="195">
        <v>24424</v>
      </c>
      <c r="K3" s="306">
        <v>16781</v>
      </c>
      <c r="L3" s="306">
        <v>17067</v>
      </c>
      <c r="M3" s="212">
        <v>16765</v>
      </c>
      <c r="N3" s="217">
        <v>26019</v>
      </c>
      <c r="O3" s="220">
        <v>40330</v>
      </c>
      <c r="P3" s="304">
        <v>37452.019999999997</v>
      </c>
      <c r="Q3" s="172">
        <v>28643.3</v>
      </c>
      <c r="R3" s="8">
        <f t="shared" si="0"/>
        <v>312564.32</v>
      </c>
      <c r="S3" s="1">
        <f t="shared" si="1"/>
        <v>12</v>
      </c>
      <c r="T3" s="31">
        <f t="shared" si="2"/>
        <v>26047.026666666668</v>
      </c>
      <c r="V3" s="321">
        <f t="shared" ref="V3:AF34" si="4">+IF($A3=V$1,SUM($F3:$K3),0)</f>
        <v>0</v>
      </c>
      <c r="W3" s="321">
        <f t="shared" si="3"/>
        <v>0</v>
      </c>
      <c r="X3" s="321">
        <f t="shared" si="3"/>
        <v>146288</v>
      </c>
      <c r="Y3" s="321">
        <f t="shared" si="3"/>
        <v>0</v>
      </c>
      <c r="Z3" s="321">
        <f t="shared" si="3"/>
        <v>0</v>
      </c>
      <c r="AA3" s="321">
        <f t="shared" si="3"/>
        <v>0</v>
      </c>
      <c r="AB3" s="321">
        <f t="shared" si="3"/>
        <v>0</v>
      </c>
      <c r="AC3" s="321">
        <f t="shared" si="3"/>
        <v>0</v>
      </c>
      <c r="AD3" s="321">
        <f t="shared" si="3"/>
        <v>0</v>
      </c>
      <c r="AE3" s="321">
        <f t="shared" si="3"/>
        <v>0</v>
      </c>
      <c r="AF3" s="321">
        <f t="shared" si="3"/>
        <v>0</v>
      </c>
      <c r="AG3" s="70">
        <f t="shared" ref="AG3:AG66" si="5">+SUM(V3:AF3)</f>
        <v>146288</v>
      </c>
      <c r="AH3" s="321">
        <f t="shared" ref="AH3:AH66" si="6">+SUM(F3:K3)</f>
        <v>146288</v>
      </c>
      <c r="AI3" s="331">
        <f t="shared" ref="AI3:AI66" si="7">+AG3-AH3</f>
        <v>0</v>
      </c>
    </row>
    <row r="4" spans="1:35" ht="10.5">
      <c r="A4" s="1" t="s">
        <v>539</v>
      </c>
      <c r="B4" s="4">
        <v>15037169</v>
      </c>
      <c r="C4" s="4"/>
      <c r="D4" s="1" t="s">
        <v>636</v>
      </c>
      <c r="E4" s="1" t="s">
        <v>592</v>
      </c>
      <c r="F4" s="181">
        <v>1611.41</v>
      </c>
      <c r="G4" s="184">
        <v>1159.7</v>
      </c>
      <c r="H4" s="229">
        <v>1853.32</v>
      </c>
      <c r="I4" s="192">
        <v>2781.86</v>
      </c>
      <c r="J4" s="195">
        <v>1430.05</v>
      </c>
      <c r="K4" s="238">
        <v>1063.8499999999999</v>
      </c>
      <c r="L4" s="306">
        <v>1388.47</v>
      </c>
      <c r="M4" s="212">
        <v>1405.58</v>
      </c>
      <c r="N4" s="217">
        <v>1971.16</v>
      </c>
      <c r="O4" s="220">
        <v>3389.49</v>
      </c>
      <c r="P4" s="304">
        <v>2675.6</v>
      </c>
      <c r="Q4" s="172">
        <v>2340.4</v>
      </c>
      <c r="R4" s="8">
        <f t="shared" si="0"/>
        <v>23070.89</v>
      </c>
      <c r="S4" s="1">
        <f t="shared" si="1"/>
        <v>12</v>
      </c>
      <c r="T4" s="31">
        <f t="shared" si="2"/>
        <v>1922.5741666666665</v>
      </c>
      <c r="V4" s="321">
        <f t="shared" si="4"/>
        <v>9900.19</v>
      </c>
      <c r="W4" s="321">
        <f t="shared" si="3"/>
        <v>0</v>
      </c>
      <c r="X4" s="321">
        <f t="shared" si="3"/>
        <v>0</v>
      </c>
      <c r="Y4" s="321">
        <f t="shared" si="3"/>
        <v>0</v>
      </c>
      <c r="Z4" s="321">
        <f t="shared" si="3"/>
        <v>0</v>
      </c>
      <c r="AA4" s="321">
        <f t="shared" si="3"/>
        <v>0</v>
      </c>
      <c r="AB4" s="321">
        <f t="shared" si="3"/>
        <v>0</v>
      </c>
      <c r="AC4" s="321">
        <f t="shared" si="3"/>
        <v>0</v>
      </c>
      <c r="AD4" s="321">
        <f t="shared" si="3"/>
        <v>0</v>
      </c>
      <c r="AE4" s="321">
        <f t="shared" si="3"/>
        <v>0</v>
      </c>
      <c r="AF4" s="321">
        <f t="shared" si="3"/>
        <v>0</v>
      </c>
      <c r="AG4" s="70">
        <f t="shared" si="5"/>
        <v>9900.19</v>
      </c>
      <c r="AH4" s="321">
        <f t="shared" si="6"/>
        <v>9900.19</v>
      </c>
      <c r="AI4" s="331">
        <f t="shared" si="7"/>
        <v>0</v>
      </c>
    </row>
    <row r="5" spans="1:35" ht="10.5">
      <c r="A5" s="1" t="s">
        <v>533</v>
      </c>
      <c r="B5" s="4">
        <v>15008670</v>
      </c>
      <c r="C5" s="4">
        <v>117</v>
      </c>
      <c r="D5" s="1" t="s">
        <v>114</v>
      </c>
      <c r="E5" s="1" t="s">
        <v>114</v>
      </c>
      <c r="F5" s="181">
        <v>4808.6400000000003</v>
      </c>
      <c r="G5" s="184">
        <v>3981.37</v>
      </c>
      <c r="H5" s="229">
        <v>6275.39</v>
      </c>
      <c r="I5" s="192">
        <v>8868.17</v>
      </c>
      <c r="J5" s="195">
        <v>3481.2</v>
      </c>
      <c r="K5" s="238">
        <v>3364.71</v>
      </c>
      <c r="L5" s="306">
        <v>3003.52</v>
      </c>
      <c r="M5" s="212">
        <v>3470.35</v>
      </c>
      <c r="N5" s="217">
        <v>5719.93</v>
      </c>
      <c r="O5" s="220">
        <v>8054.94</v>
      </c>
      <c r="P5" s="304">
        <v>6363.95</v>
      </c>
      <c r="Q5" s="172">
        <v>6428.27</v>
      </c>
      <c r="R5" s="8">
        <f t="shared" si="0"/>
        <v>63820.44</v>
      </c>
      <c r="S5" s="1">
        <f t="shared" si="1"/>
        <v>12</v>
      </c>
      <c r="T5" s="31">
        <f t="shared" si="2"/>
        <v>5318.37</v>
      </c>
      <c r="V5" s="321">
        <f t="shared" si="4"/>
        <v>0</v>
      </c>
      <c r="W5" s="321">
        <f t="shared" si="3"/>
        <v>0</v>
      </c>
      <c r="X5" s="321">
        <f t="shared" si="3"/>
        <v>0</v>
      </c>
      <c r="Y5" s="321">
        <f t="shared" si="3"/>
        <v>0</v>
      </c>
      <c r="Z5" s="321">
        <f t="shared" si="3"/>
        <v>0</v>
      </c>
      <c r="AA5" s="321">
        <f t="shared" si="3"/>
        <v>0</v>
      </c>
      <c r="AB5" s="321">
        <f t="shared" si="3"/>
        <v>30779.48</v>
      </c>
      <c r="AC5" s="321">
        <f t="shared" si="3"/>
        <v>0</v>
      </c>
      <c r="AD5" s="321">
        <f t="shared" si="3"/>
        <v>0</v>
      </c>
      <c r="AE5" s="321">
        <f t="shared" si="3"/>
        <v>0</v>
      </c>
      <c r="AF5" s="321">
        <f t="shared" si="3"/>
        <v>0</v>
      </c>
      <c r="AG5" s="70">
        <f t="shared" si="5"/>
        <v>30779.48</v>
      </c>
      <c r="AH5" s="321">
        <f t="shared" si="6"/>
        <v>30779.48</v>
      </c>
      <c r="AI5" s="331">
        <f t="shared" si="7"/>
        <v>0</v>
      </c>
    </row>
    <row r="6" spans="1:35" ht="10.5">
      <c r="A6" s="1" t="s">
        <v>664</v>
      </c>
      <c r="B6" s="4">
        <v>70000000</v>
      </c>
      <c r="C6" s="4">
        <v>89</v>
      </c>
      <c r="D6" s="1" t="s">
        <v>229</v>
      </c>
      <c r="E6" s="1" t="s">
        <v>229</v>
      </c>
      <c r="F6" s="181">
        <v>999.78</v>
      </c>
      <c r="G6" s="184">
        <v>921.48</v>
      </c>
      <c r="H6" s="229">
        <v>1396.98</v>
      </c>
      <c r="I6" s="192">
        <v>1428.17</v>
      </c>
      <c r="J6" s="195">
        <v>1393.15</v>
      </c>
      <c r="K6" s="238">
        <v>1288.5999999999999</v>
      </c>
      <c r="L6" s="306">
        <v>1278.4000000000001</v>
      </c>
      <c r="M6" s="212">
        <v>1356.26</v>
      </c>
      <c r="N6" s="217">
        <v>1376.15</v>
      </c>
      <c r="O6" s="220">
        <v>1361.45</v>
      </c>
      <c r="P6" s="304">
        <v>1316.65</v>
      </c>
      <c r="Q6" s="172">
        <v>1574.2</v>
      </c>
      <c r="R6" s="8">
        <f t="shared" si="0"/>
        <v>15691.27</v>
      </c>
      <c r="S6" s="1">
        <f t="shared" si="1"/>
        <v>12</v>
      </c>
      <c r="T6" s="31">
        <f t="shared" si="2"/>
        <v>1307.6058333333333</v>
      </c>
      <c r="V6" s="321">
        <f t="shared" si="4"/>
        <v>0</v>
      </c>
      <c r="W6" s="321">
        <f t="shared" si="3"/>
        <v>0</v>
      </c>
      <c r="X6" s="321">
        <f t="shared" si="3"/>
        <v>0</v>
      </c>
      <c r="Y6" s="321">
        <f t="shared" si="3"/>
        <v>0</v>
      </c>
      <c r="Z6" s="321">
        <f t="shared" si="3"/>
        <v>0</v>
      </c>
      <c r="AA6" s="321">
        <f t="shared" si="3"/>
        <v>0</v>
      </c>
      <c r="AB6" s="321">
        <f t="shared" si="3"/>
        <v>0</v>
      </c>
      <c r="AC6" s="321">
        <f t="shared" si="3"/>
        <v>0</v>
      </c>
      <c r="AD6" s="321">
        <f t="shared" si="3"/>
        <v>0</v>
      </c>
      <c r="AE6" s="321">
        <f t="shared" si="3"/>
        <v>7428.16</v>
      </c>
      <c r="AF6" s="321">
        <f t="shared" si="3"/>
        <v>0</v>
      </c>
      <c r="AG6" s="70">
        <f t="shared" si="5"/>
        <v>7428.16</v>
      </c>
      <c r="AH6" s="321">
        <f t="shared" si="6"/>
        <v>7428.16</v>
      </c>
      <c r="AI6" s="331">
        <f t="shared" si="7"/>
        <v>0</v>
      </c>
    </row>
    <row r="7" spans="1:35" ht="10.5">
      <c r="A7" s="1" t="s">
        <v>664</v>
      </c>
      <c r="B7" s="4">
        <v>15051606</v>
      </c>
      <c r="C7" s="4"/>
      <c r="D7" s="1" t="s">
        <v>639</v>
      </c>
      <c r="E7" s="1" t="s">
        <v>518</v>
      </c>
      <c r="F7" s="181">
        <v>30944.52</v>
      </c>
      <c r="G7" s="184">
        <v>20522.91</v>
      </c>
      <c r="H7" s="195">
        <v>40330.78</v>
      </c>
      <c r="I7" s="195">
        <v>94331.56</v>
      </c>
      <c r="J7" s="195">
        <v>33761.72</v>
      </c>
      <c r="K7" s="238">
        <v>25006.61</v>
      </c>
      <c r="L7" s="306">
        <v>20032.810000000001</v>
      </c>
      <c r="M7" s="212">
        <v>22882.99</v>
      </c>
      <c r="N7" s="217">
        <v>44019.41</v>
      </c>
      <c r="O7" s="220">
        <v>58095.3</v>
      </c>
      <c r="P7" s="304">
        <v>53726.78</v>
      </c>
      <c r="Q7" s="172">
        <v>38390.85</v>
      </c>
      <c r="R7" s="8">
        <f>+SUM(F7:Q7)</f>
        <v>482046.23999999987</v>
      </c>
      <c r="S7" s="1">
        <f>COUNT(F7:Q7)</f>
        <v>12</v>
      </c>
      <c r="T7" s="31">
        <f>+IF(R7=0,0,R7/S7)</f>
        <v>40170.51999999999</v>
      </c>
      <c r="V7" s="321">
        <f t="shared" si="4"/>
        <v>0</v>
      </c>
      <c r="W7" s="321">
        <f t="shared" si="3"/>
        <v>0</v>
      </c>
      <c r="X7" s="321">
        <f t="shared" si="3"/>
        <v>0</v>
      </c>
      <c r="Y7" s="321">
        <f t="shared" si="3"/>
        <v>0</v>
      </c>
      <c r="Z7" s="321">
        <f t="shared" si="3"/>
        <v>0</v>
      </c>
      <c r="AA7" s="321">
        <f t="shared" si="3"/>
        <v>0</v>
      </c>
      <c r="AB7" s="321">
        <f t="shared" si="3"/>
        <v>0</v>
      </c>
      <c r="AC7" s="321">
        <f t="shared" si="3"/>
        <v>0</v>
      </c>
      <c r="AD7" s="321">
        <f t="shared" si="3"/>
        <v>0</v>
      </c>
      <c r="AE7" s="321">
        <f t="shared" si="3"/>
        <v>244898.09999999998</v>
      </c>
      <c r="AF7" s="321">
        <f t="shared" si="3"/>
        <v>0</v>
      </c>
      <c r="AG7" s="70">
        <f t="shared" si="5"/>
        <v>244898.09999999998</v>
      </c>
      <c r="AH7" s="321">
        <f t="shared" si="6"/>
        <v>244898.09999999998</v>
      </c>
      <c r="AI7" s="331">
        <f t="shared" si="7"/>
        <v>0</v>
      </c>
    </row>
    <row r="8" spans="1:35" ht="10.5">
      <c r="A8" s="1" t="s">
        <v>535</v>
      </c>
      <c r="B8" s="4">
        <v>7003201</v>
      </c>
      <c r="C8" s="4">
        <v>4130</v>
      </c>
      <c r="D8" s="1" t="s">
        <v>525</v>
      </c>
      <c r="E8" s="1" t="s">
        <v>385</v>
      </c>
      <c r="F8" s="181">
        <v>11040.22</v>
      </c>
      <c r="G8" s="184">
        <v>10007.200000000001</v>
      </c>
      <c r="H8" s="229">
        <v>13423.82</v>
      </c>
      <c r="I8" s="192">
        <v>17862.41</v>
      </c>
      <c r="J8" s="195">
        <v>11666.37</v>
      </c>
      <c r="K8" s="238">
        <v>6469.77</v>
      </c>
      <c r="L8" s="306">
        <v>9958.36</v>
      </c>
      <c r="M8" s="212">
        <v>9832.84</v>
      </c>
      <c r="N8" s="217">
        <v>15047.8</v>
      </c>
      <c r="O8" s="220">
        <v>16274.1</v>
      </c>
      <c r="P8" s="304">
        <v>17052.84</v>
      </c>
      <c r="Q8" s="172">
        <v>14936.27</v>
      </c>
      <c r="R8" s="8">
        <f t="shared" si="0"/>
        <v>153572</v>
      </c>
      <c r="S8" s="1">
        <f t="shared" si="1"/>
        <v>12</v>
      </c>
      <c r="T8" s="31">
        <f t="shared" si="2"/>
        <v>12797.666666666666</v>
      </c>
      <c r="V8" s="321">
        <f t="shared" si="4"/>
        <v>0</v>
      </c>
      <c r="W8" s="321">
        <f t="shared" si="3"/>
        <v>0</v>
      </c>
      <c r="X8" s="321">
        <f t="shared" si="3"/>
        <v>0</v>
      </c>
      <c r="Y8" s="321">
        <f t="shared" si="3"/>
        <v>0</v>
      </c>
      <c r="Z8" s="321">
        <f t="shared" si="3"/>
        <v>0</v>
      </c>
      <c r="AA8" s="321">
        <f t="shared" si="3"/>
        <v>70469.789999999994</v>
      </c>
      <c r="AB8" s="321">
        <f t="shared" si="3"/>
        <v>0</v>
      </c>
      <c r="AC8" s="321">
        <f t="shared" si="3"/>
        <v>0</v>
      </c>
      <c r="AD8" s="321">
        <f t="shared" si="3"/>
        <v>0</v>
      </c>
      <c r="AE8" s="321">
        <f t="shared" si="3"/>
        <v>0</v>
      </c>
      <c r="AF8" s="321">
        <f t="shared" si="3"/>
        <v>0</v>
      </c>
      <c r="AG8" s="70">
        <f t="shared" si="5"/>
        <v>70469.789999999994</v>
      </c>
      <c r="AH8" s="321">
        <f t="shared" si="6"/>
        <v>70469.789999999994</v>
      </c>
      <c r="AI8" s="331">
        <f t="shared" si="7"/>
        <v>0</v>
      </c>
    </row>
    <row r="9" spans="1:35" ht="10.5">
      <c r="A9" s="1" t="s">
        <v>662</v>
      </c>
      <c r="B9" s="42">
        <v>7000200</v>
      </c>
      <c r="C9" s="42">
        <v>90</v>
      </c>
      <c r="D9" s="11" t="s">
        <v>230</v>
      </c>
      <c r="E9" s="11" t="s">
        <v>230</v>
      </c>
      <c r="F9" s="184">
        <v>1652.71</v>
      </c>
      <c r="G9" s="184">
        <v>1686.1</v>
      </c>
      <c r="H9" s="212">
        <v>2259.08</v>
      </c>
      <c r="I9" s="212">
        <v>2309.2600000000002</v>
      </c>
      <c r="J9" s="212">
        <v>2355.75</v>
      </c>
      <c r="K9" s="212">
        <v>2315.12</v>
      </c>
      <c r="L9" s="212">
        <v>2195.29</v>
      </c>
      <c r="M9" s="184">
        <v>2360.83</v>
      </c>
      <c r="N9" s="184">
        <v>2469.12</v>
      </c>
      <c r="O9" s="184">
        <v>2364.5100000000002</v>
      </c>
      <c r="P9" s="184">
        <v>2381.34</v>
      </c>
      <c r="Q9" s="184">
        <v>2351.0700000000002</v>
      </c>
      <c r="R9" s="8">
        <f t="shared" si="0"/>
        <v>26700.179999999997</v>
      </c>
      <c r="S9" s="1">
        <f t="shared" si="1"/>
        <v>12</v>
      </c>
      <c r="T9" s="31">
        <f t="shared" si="2"/>
        <v>2225.0149999999999</v>
      </c>
      <c r="V9" s="321">
        <f t="shared" si="4"/>
        <v>0</v>
      </c>
      <c r="W9" s="321">
        <f t="shared" si="3"/>
        <v>0</v>
      </c>
      <c r="X9" s="321">
        <f t="shared" si="3"/>
        <v>0</v>
      </c>
      <c r="Y9" s="321">
        <f t="shared" si="3"/>
        <v>0</v>
      </c>
      <c r="Z9" s="321">
        <f t="shared" si="3"/>
        <v>12578.02</v>
      </c>
      <c r="AA9" s="321">
        <f t="shared" si="3"/>
        <v>0</v>
      </c>
      <c r="AB9" s="321">
        <f t="shared" si="3"/>
        <v>0</v>
      </c>
      <c r="AC9" s="321">
        <f t="shared" si="3"/>
        <v>0</v>
      </c>
      <c r="AD9" s="321">
        <f t="shared" si="3"/>
        <v>0</v>
      </c>
      <c r="AE9" s="321">
        <f t="shared" si="3"/>
        <v>0</v>
      </c>
      <c r="AF9" s="321">
        <f t="shared" si="3"/>
        <v>0</v>
      </c>
      <c r="AG9" s="70">
        <f t="shared" si="5"/>
        <v>12578.02</v>
      </c>
      <c r="AH9" s="321">
        <f t="shared" si="6"/>
        <v>12578.02</v>
      </c>
      <c r="AI9" s="331">
        <f t="shared" si="7"/>
        <v>0</v>
      </c>
    </row>
    <row r="10" spans="1:35" ht="10.5">
      <c r="A10" s="1" t="s">
        <v>535</v>
      </c>
      <c r="B10" s="42">
        <v>15051607</v>
      </c>
      <c r="C10" s="42"/>
      <c r="D10" s="11" t="s">
        <v>640</v>
      </c>
      <c r="E10" s="11" t="s">
        <v>641</v>
      </c>
      <c r="F10" s="306">
        <v>26924.75</v>
      </c>
      <c r="G10" s="229">
        <v>23407.439999999999</v>
      </c>
      <c r="H10" s="195">
        <v>39044.99</v>
      </c>
      <c r="I10" s="306">
        <v>54076.23</v>
      </c>
      <c r="J10" s="306">
        <v>25842.47</v>
      </c>
      <c r="K10" s="306">
        <v>16114.41</v>
      </c>
      <c r="L10" s="306">
        <v>18002.59</v>
      </c>
      <c r="M10" s="220">
        <v>25349.18</v>
      </c>
      <c r="N10" s="220">
        <v>36663.61</v>
      </c>
      <c r="O10" s="220">
        <v>45271.69</v>
      </c>
      <c r="P10" s="304">
        <v>48281.79</v>
      </c>
      <c r="Q10" s="172">
        <v>36377.160000000003</v>
      </c>
      <c r="R10" s="8">
        <f t="shared" si="0"/>
        <v>395356.30999999994</v>
      </c>
      <c r="S10" s="1">
        <f t="shared" si="1"/>
        <v>12</v>
      </c>
      <c r="T10" s="31">
        <f t="shared" si="2"/>
        <v>32946.359166666662</v>
      </c>
      <c r="V10" s="321">
        <f t="shared" si="4"/>
        <v>0</v>
      </c>
      <c r="W10" s="321">
        <f t="shared" si="3"/>
        <v>0</v>
      </c>
      <c r="X10" s="321">
        <f t="shared" si="3"/>
        <v>0</v>
      </c>
      <c r="Y10" s="321">
        <f t="shared" si="3"/>
        <v>0</v>
      </c>
      <c r="Z10" s="321">
        <f t="shared" si="3"/>
        <v>0</v>
      </c>
      <c r="AA10" s="321">
        <f t="shared" si="3"/>
        <v>185410.29</v>
      </c>
      <c r="AB10" s="321">
        <f t="shared" si="3"/>
        <v>0</v>
      </c>
      <c r="AC10" s="321">
        <f t="shared" si="3"/>
        <v>0</v>
      </c>
      <c r="AD10" s="321">
        <f t="shared" si="3"/>
        <v>0</v>
      </c>
      <c r="AE10" s="321">
        <f t="shared" si="3"/>
        <v>0</v>
      </c>
      <c r="AF10" s="321">
        <f t="shared" si="3"/>
        <v>0</v>
      </c>
      <c r="AG10" s="70">
        <f t="shared" si="5"/>
        <v>185410.29</v>
      </c>
      <c r="AH10" s="321">
        <f t="shared" si="6"/>
        <v>185410.29</v>
      </c>
      <c r="AI10" s="331">
        <f t="shared" si="7"/>
        <v>0</v>
      </c>
    </row>
    <row r="11" spans="1:35" ht="10.5">
      <c r="A11" s="1" t="s">
        <v>533</v>
      </c>
      <c r="B11" s="42">
        <v>15051882</v>
      </c>
      <c r="C11" s="42"/>
      <c r="D11" s="11" t="s">
        <v>643</v>
      </c>
      <c r="E11" s="11" t="s">
        <v>642</v>
      </c>
      <c r="F11" s="181">
        <v>12294.05</v>
      </c>
      <c r="G11" s="184">
        <v>6342.76</v>
      </c>
      <c r="H11" s="229">
        <v>13831.01</v>
      </c>
      <c r="I11" s="32"/>
      <c r="J11" s="32"/>
      <c r="K11" s="32"/>
      <c r="L11" s="32"/>
      <c r="M11" s="212">
        <v>4180.28</v>
      </c>
      <c r="N11" s="217">
        <v>8538.41</v>
      </c>
      <c r="O11" s="220">
        <v>13502.91</v>
      </c>
      <c r="P11" s="304">
        <v>15868.61</v>
      </c>
      <c r="Q11" s="172">
        <v>13191.69</v>
      </c>
      <c r="R11" s="8">
        <f t="shared" si="0"/>
        <v>87749.72</v>
      </c>
      <c r="S11" s="1">
        <f t="shared" si="1"/>
        <v>8</v>
      </c>
      <c r="T11" s="31">
        <f t="shared" si="2"/>
        <v>10968.715</v>
      </c>
      <c r="V11" s="321">
        <f t="shared" si="4"/>
        <v>0</v>
      </c>
      <c r="W11" s="321">
        <f t="shared" si="3"/>
        <v>0</v>
      </c>
      <c r="X11" s="321">
        <f t="shared" si="3"/>
        <v>0</v>
      </c>
      <c r="Y11" s="321">
        <f t="shared" si="3"/>
        <v>0</v>
      </c>
      <c r="Z11" s="321">
        <f t="shared" si="3"/>
        <v>0</v>
      </c>
      <c r="AA11" s="321">
        <f t="shared" si="3"/>
        <v>0</v>
      </c>
      <c r="AB11" s="321">
        <f t="shared" si="3"/>
        <v>32467.82</v>
      </c>
      <c r="AC11" s="321">
        <f t="shared" si="3"/>
        <v>0</v>
      </c>
      <c r="AD11" s="321">
        <f t="shared" si="3"/>
        <v>0</v>
      </c>
      <c r="AE11" s="321">
        <f t="shared" si="3"/>
        <v>0</v>
      </c>
      <c r="AF11" s="321">
        <f t="shared" si="3"/>
        <v>0</v>
      </c>
      <c r="AG11" s="70">
        <f t="shared" si="5"/>
        <v>32467.82</v>
      </c>
      <c r="AH11" s="321">
        <f t="shared" si="6"/>
        <v>32467.82</v>
      </c>
      <c r="AI11" s="331">
        <f t="shared" si="7"/>
        <v>0</v>
      </c>
    </row>
    <row r="12" spans="1:35" ht="10.5">
      <c r="A12" s="1" t="s">
        <v>659</v>
      </c>
      <c r="B12" s="4">
        <v>15031812</v>
      </c>
      <c r="C12" s="4"/>
      <c r="D12" s="1" t="s">
        <v>707</v>
      </c>
      <c r="E12" s="1" t="s">
        <v>688</v>
      </c>
      <c r="F12" s="181">
        <v>13996.26</v>
      </c>
      <c r="G12" s="184">
        <v>11203.2</v>
      </c>
      <c r="H12" s="229">
        <v>16941.349999999999</v>
      </c>
      <c r="I12" s="192">
        <v>23180.67</v>
      </c>
      <c r="J12" s="195">
        <v>15102.66</v>
      </c>
      <c r="K12" s="238">
        <v>10037.49</v>
      </c>
      <c r="L12" s="306">
        <v>8326</v>
      </c>
      <c r="M12" s="212">
        <v>12357.59</v>
      </c>
      <c r="N12" s="217">
        <v>17797.060000000001</v>
      </c>
      <c r="O12" s="220">
        <v>22156.87</v>
      </c>
      <c r="P12" s="304">
        <v>21153.45</v>
      </c>
      <c r="Q12" s="172">
        <v>18900.03</v>
      </c>
      <c r="R12" s="8">
        <f t="shared" si="0"/>
        <v>191152.63</v>
      </c>
      <c r="S12" s="1">
        <f t="shared" si="1"/>
        <v>12</v>
      </c>
      <c r="T12" s="31">
        <f t="shared" si="2"/>
        <v>15929.385833333334</v>
      </c>
      <c r="V12" s="321">
        <f t="shared" si="4"/>
        <v>0</v>
      </c>
      <c r="W12" s="321">
        <f t="shared" si="3"/>
        <v>0</v>
      </c>
      <c r="X12" s="321">
        <f t="shared" si="3"/>
        <v>0</v>
      </c>
      <c r="Y12" s="321">
        <f t="shared" si="3"/>
        <v>0</v>
      </c>
      <c r="Z12" s="321">
        <f t="shared" si="3"/>
        <v>0</v>
      </c>
      <c r="AA12" s="321">
        <f t="shared" si="3"/>
        <v>0</v>
      </c>
      <c r="AB12" s="321">
        <f t="shared" si="3"/>
        <v>0</v>
      </c>
      <c r="AC12" s="321">
        <f t="shared" si="3"/>
        <v>90461.63</v>
      </c>
      <c r="AD12" s="321">
        <f t="shared" si="3"/>
        <v>0</v>
      </c>
      <c r="AE12" s="321">
        <f t="shared" si="3"/>
        <v>0</v>
      </c>
      <c r="AF12" s="321">
        <f t="shared" si="3"/>
        <v>0</v>
      </c>
      <c r="AG12" s="70">
        <f t="shared" si="5"/>
        <v>90461.63</v>
      </c>
      <c r="AH12" s="321">
        <f t="shared" si="6"/>
        <v>90461.63</v>
      </c>
      <c r="AI12" s="331">
        <f t="shared" si="7"/>
        <v>0</v>
      </c>
    </row>
    <row r="13" spans="1:35" ht="10.5">
      <c r="A13" s="1" t="s">
        <v>533</v>
      </c>
      <c r="B13" s="4">
        <v>7006700</v>
      </c>
      <c r="C13" s="4"/>
      <c r="D13" s="1" t="s">
        <v>694</v>
      </c>
      <c r="E13" s="1" t="s">
        <v>231</v>
      </c>
      <c r="F13" s="181">
        <v>6217.31</v>
      </c>
      <c r="G13" s="184">
        <v>4010.84</v>
      </c>
      <c r="H13" s="229">
        <v>6405.9</v>
      </c>
      <c r="I13" s="192">
        <v>9568.06</v>
      </c>
      <c r="J13" s="195">
        <v>5851.89</v>
      </c>
      <c r="K13" s="238">
        <v>4169.41</v>
      </c>
      <c r="L13" s="306">
        <v>3866.7</v>
      </c>
      <c r="M13" s="212">
        <v>3754.15</v>
      </c>
      <c r="N13" s="217">
        <v>7153.66</v>
      </c>
      <c r="O13" s="220">
        <v>8516.23</v>
      </c>
      <c r="P13" s="304">
        <v>8755.26</v>
      </c>
      <c r="Q13" s="172">
        <v>7408.34</v>
      </c>
      <c r="R13" s="8">
        <f t="shared" si="0"/>
        <v>75677.749999999985</v>
      </c>
      <c r="S13" s="1">
        <f t="shared" si="1"/>
        <v>12</v>
      </c>
      <c r="T13" s="31">
        <f t="shared" si="2"/>
        <v>6306.4791666666652</v>
      </c>
      <c r="V13" s="321">
        <f t="shared" si="4"/>
        <v>0</v>
      </c>
      <c r="W13" s="321">
        <f t="shared" si="3"/>
        <v>0</v>
      </c>
      <c r="X13" s="321">
        <f t="shared" si="3"/>
        <v>0</v>
      </c>
      <c r="Y13" s="321">
        <f t="shared" si="3"/>
        <v>0</v>
      </c>
      <c r="Z13" s="321">
        <f t="shared" si="3"/>
        <v>0</v>
      </c>
      <c r="AA13" s="321">
        <f t="shared" si="3"/>
        <v>0</v>
      </c>
      <c r="AB13" s="321">
        <f t="shared" si="3"/>
        <v>36223.410000000003</v>
      </c>
      <c r="AC13" s="321">
        <f t="shared" si="3"/>
        <v>0</v>
      </c>
      <c r="AD13" s="321">
        <f t="shared" si="3"/>
        <v>0</v>
      </c>
      <c r="AE13" s="321">
        <f t="shared" si="3"/>
        <v>0</v>
      </c>
      <c r="AF13" s="321">
        <f t="shared" si="3"/>
        <v>0</v>
      </c>
      <c r="AG13" s="70">
        <f t="shared" si="5"/>
        <v>36223.410000000003</v>
      </c>
      <c r="AH13" s="321">
        <f t="shared" si="6"/>
        <v>36223.410000000003</v>
      </c>
      <c r="AI13" s="331">
        <f t="shared" si="7"/>
        <v>0</v>
      </c>
    </row>
    <row r="14" spans="1:35" ht="10.5">
      <c r="A14" s="1" t="s">
        <v>659</v>
      </c>
      <c r="B14" s="4">
        <v>7007500</v>
      </c>
      <c r="C14" s="4">
        <v>95</v>
      </c>
      <c r="D14" s="1" t="s">
        <v>234</v>
      </c>
      <c r="E14" s="1" t="s">
        <v>234</v>
      </c>
      <c r="F14" s="181">
        <v>9714.33</v>
      </c>
      <c r="G14" s="184">
        <v>8234.56</v>
      </c>
      <c r="H14" s="229">
        <v>11762.32</v>
      </c>
      <c r="I14" s="192">
        <v>14199.16</v>
      </c>
      <c r="J14" s="195">
        <v>9774.0499999999993</v>
      </c>
      <c r="K14" s="238">
        <v>7914.86</v>
      </c>
      <c r="L14" s="306">
        <v>7688.85</v>
      </c>
      <c r="M14" s="212">
        <v>8852.1299999999992</v>
      </c>
      <c r="N14" s="217">
        <v>12505.47</v>
      </c>
      <c r="O14" s="220">
        <v>14412.42</v>
      </c>
      <c r="P14" s="304">
        <v>13691.59</v>
      </c>
      <c r="Q14" s="172">
        <v>13097.11</v>
      </c>
      <c r="R14" s="8">
        <f t="shared" si="0"/>
        <v>131846.85</v>
      </c>
      <c r="S14" s="1">
        <f t="shared" si="1"/>
        <v>12</v>
      </c>
      <c r="T14" s="31">
        <f t="shared" si="2"/>
        <v>10987.237500000001</v>
      </c>
      <c r="V14" s="321">
        <f t="shared" si="4"/>
        <v>0</v>
      </c>
      <c r="W14" s="321">
        <f t="shared" si="3"/>
        <v>0</v>
      </c>
      <c r="X14" s="321">
        <f t="shared" si="3"/>
        <v>0</v>
      </c>
      <c r="Y14" s="321">
        <f t="shared" si="3"/>
        <v>0</v>
      </c>
      <c r="Z14" s="321">
        <f t="shared" si="3"/>
        <v>0</v>
      </c>
      <c r="AA14" s="321">
        <f t="shared" si="3"/>
        <v>0</v>
      </c>
      <c r="AB14" s="321">
        <f t="shared" si="3"/>
        <v>0</v>
      </c>
      <c r="AC14" s="321">
        <f t="shared" si="3"/>
        <v>61599.28</v>
      </c>
      <c r="AD14" s="321">
        <f t="shared" si="3"/>
        <v>0</v>
      </c>
      <c r="AE14" s="321">
        <f t="shared" si="3"/>
        <v>0</v>
      </c>
      <c r="AF14" s="321">
        <f t="shared" si="3"/>
        <v>0</v>
      </c>
      <c r="AG14" s="70">
        <f t="shared" si="5"/>
        <v>61599.28</v>
      </c>
      <c r="AH14" s="321">
        <f t="shared" si="6"/>
        <v>61599.28</v>
      </c>
      <c r="AI14" s="331">
        <f t="shared" si="7"/>
        <v>0</v>
      </c>
    </row>
    <row r="15" spans="1:35" ht="10.5">
      <c r="A15" s="1" t="s">
        <v>535</v>
      </c>
      <c r="B15" s="4">
        <v>7005300</v>
      </c>
      <c r="C15" s="4">
        <v>96</v>
      </c>
      <c r="D15" s="1" t="s">
        <v>235</v>
      </c>
      <c r="E15" s="1" t="s">
        <v>235</v>
      </c>
      <c r="F15" s="181">
        <v>19334.53</v>
      </c>
      <c r="G15" s="184">
        <v>17690.21</v>
      </c>
      <c r="H15" s="229">
        <v>29030.02</v>
      </c>
      <c r="I15" s="192">
        <v>38918.67</v>
      </c>
      <c r="J15" s="195">
        <v>26246.73</v>
      </c>
      <c r="K15" s="238">
        <v>15260.84</v>
      </c>
      <c r="L15" s="306">
        <v>17526.36</v>
      </c>
      <c r="M15" s="212">
        <v>22283.68</v>
      </c>
      <c r="N15" s="217">
        <v>30803.47</v>
      </c>
      <c r="O15" s="220">
        <v>34363.040000000001</v>
      </c>
      <c r="P15" s="304">
        <v>34501.47</v>
      </c>
      <c r="Q15" s="172">
        <v>29127.49</v>
      </c>
      <c r="R15" s="8">
        <f t="shared" si="0"/>
        <v>315086.51</v>
      </c>
      <c r="S15" s="1">
        <f t="shared" si="1"/>
        <v>12</v>
      </c>
      <c r="T15" s="31">
        <f t="shared" si="2"/>
        <v>26257.209166666667</v>
      </c>
      <c r="V15" s="321">
        <f t="shared" si="4"/>
        <v>0</v>
      </c>
      <c r="W15" s="321">
        <f t="shared" si="3"/>
        <v>0</v>
      </c>
      <c r="X15" s="321">
        <f t="shared" si="3"/>
        <v>0</v>
      </c>
      <c r="Y15" s="321">
        <f t="shared" si="3"/>
        <v>0</v>
      </c>
      <c r="Z15" s="321">
        <f t="shared" si="3"/>
        <v>0</v>
      </c>
      <c r="AA15" s="321">
        <f t="shared" si="3"/>
        <v>146481</v>
      </c>
      <c r="AB15" s="321">
        <f t="shared" si="3"/>
        <v>0</v>
      </c>
      <c r="AC15" s="321">
        <f t="shared" si="3"/>
        <v>0</v>
      </c>
      <c r="AD15" s="321">
        <f t="shared" si="3"/>
        <v>0</v>
      </c>
      <c r="AE15" s="321">
        <f t="shared" si="3"/>
        <v>0</v>
      </c>
      <c r="AF15" s="321">
        <f t="shared" si="3"/>
        <v>0</v>
      </c>
      <c r="AG15" s="70">
        <f t="shared" si="5"/>
        <v>146481</v>
      </c>
      <c r="AH15" s="321">
        <f t="shared" si="6"/>
        <v>146481</v>
      </c>
      <c r="AI15" s="331">
        <f t="shared" si="7"/>
        <v>0</v>
      </c>
    </row>
    <row r="16" spans="1:35" ht="10.5">
      <c r="A16" s="1" t="s">
        <v>530</v>
      </c>
      <c r="B16" s="4">
        <v>15051244</v>
      </c>
      <c r="C16" s="4"/>
      <c r="D16" s="1" t="s">
        <v>503</v>
      </c>
      <c r="E16" s="1" t="s">
        <v>651</v>
      </c>
      <c r="F16" s="181">
        <v>17967.240000000002</v>
      </c>
      <c r="G16" s="184">
        <v>15222.12</v>
      </c>
      <c r="H16" s="229">
        <v>20635.45</v>
      </c>
      <c r="I16" s="192">
        <v>28625.79</v>
      </c>
      <c r="J16" s="195">
        <v>19750.77</v>
      </c>
      <c r="K16" s="238">
        <v>14444.05</v>
      </c>
      <c r="L16" s="306">
        <v>17804.7</v>
      </c>
      <c r="M16" s="212">
        <v>16803.91</v>
      </c>
      <c r="N16" s="217">
        <v>23951.39</v>
      </c>
      <c r="O16" s="220">
        <v>27138.89</v>
      </c>
      <c r="P16" s="304">
        <v>24990.26</v>
      </c>
      <c r="Q16" s="172">
        <v>22702.14</v>
      </c>
      <c r="R16" s="8">
        <f t="shared" si="0"/>
        <v>250036.71000000008</v>
      </c>
      <c r="S16" s="1">
        <f t="shared" si="1"/>
        <v>12</v>
      </c>
      <c r="T16" s="31">
        <f t="shared" si="2"/>
        <v>20836.392500000005</v>
      </c>
      <c r="V16" s="321">
        <f t="shared" si="4"/>
        <v>0</v>
      </c>
      <c r="W16" s="321">
        <f t="shared" si="3"/>
        <v>0</v>
      </c>
      <c r="X16" s="321">
        <f t="shared" si="3"/>
        <v>0</v>
      </c>
      <c r="Y16" s="321">
        <f t="shared" si="3"/>
        <v>116645.42000000001</v>
      </c>
      <c r="Z16" s="321">
        <f t="shared" si="3"/>
        <v>0</v>
      </c>
      <c r="AA16" s="321">
        <f t="shared" si="3"/>
        <v>0</v>
      </c>
      <c r="AB16" s="321">
        <f t="shared" si="3"/>
        <v>0</v>
      </c>
      <c r="AC16" s="321">
        <f t="shared" si="3"/>
        <v>0</v>
      </c>
      <c r="AD16" s="321">
        <f t="shared" si="3"/>
        <v>0</v>
      </c>
      <c r="AE16" s="321">
        <f t="shared" si="3"/>
        <v>0</v>
      </c>
      <c r="AF16" s="321">
        <f t="shared" si="3"/>
        <v>0</v>
      </c>
      <c r="AG16" s="70">
        <f t="shared" si="5"/>
        <v>116645.42000000001</v>
      </c>
      <c r="AH16" s="321">
        <f t="shared" si="6"/>
        <v>116645.42000000001</v>
      </c>
      <c r="AI16" s="331">
        <f t="shared" si="7"/>
        <v>0</v>
      </c>
    </row>
    <row r="17" spans="1:35" ht="10.5">
      <c r="A17" s="1" t="s">
        <v>533</v>
      </c>
      <c r="B17" s="4">
        <v>15052479</v>
      </c>
      <c r="C17" s="4"/>
      <c r="D17" s="1" t="s">
        <v>649</v>
      </c>
      <c r="E17" s="1" t="s">
        <v>710</v>
      </c>
      <c r="F17" s="181">
        <v>3365.99</v>
      </c>
      <c r="G17" s="184">
        <v>3462.05</v>
      </c>
      <c r="H17" s="306">
        <v>4763.9399999999996</v>
      </c>
      <c r="I17" s="306">
        <v>4857.07</v>
      </c>
      <c r="J17" s="306">
        <v>4486.59</v>
      </c>
      <c r="K17" s="238">
        <v>3422.57</v>
      </c>
      <c r="L17" s="306">
        <v>3614.11</v>
      </c>
      <c r="M17" s="212">
        <v>3233.22</v>
      </c>
      <c r="N17" s="217">
        <v>3920.52</v>
      </c>
      <c r="O17" s="220">
        <v>4110.24</v>
      </c>
      <c r="P17" s="304">
        <v>4039.72</v>
      </c>
      <c r="Q17" s="172">
        <v>2813.47</v>
      </c>
      <c r="R17" s="8">
        <f t="shared" si="0"/>
        <v>46089.49</v>
      </c>
      <c r="S17" s="1">
        <f t="shared" si="1"/>
        <v>12</v>
      </c>
      <c r="T17" s="31">
        <f t="shared" si="2"/>
        <v>3840.790833333333</v>
      </c>
      <c r="V17" s="321">
        <f t="shared" si="4"/>
        <v>0</v>
      </c>
      <c r="W17" s="321">
        <f t="shared" si="3"/>
        <v>0</v>
      </c>
      <c r="X17" s="321">
        <f t="shared" si="3"/>
        <v>0</v>
      </c>
      <c r="Y17" s="321">
        <f t="shared" si="3"/>
        <v>0</v>
      </c>
      <c r="Z17" s="321">
        <f t="shared" si="3"/>
        <v>0</v>
      </c>
      <c r="AA17" s="321">
        <f t="shared" si="3"/>
        <v>0</v>
      </c>
      <c r="AB17" s="321">
        <f t="shared" si="3"/>
        <v>24358.21</v>
      </c>
      <c r="AC17" s="321">
        <f t="shared" si="3"/>
        <v>0</v>
      </c>
      <c r="AD17" s="321">
        <f t="shared" si="3"/>
        <v>0</v>
      </c>
      <c r="AE17" s="321">
        <f t="shared" si="3"/>
        <v>0</v>
      </c>
      <c r="AF17" s="321">
        <f t="shared" si="3"/>
        <v>0</v>
      </c>
      <c r="AG17" s="70">
        <f t="shared" si="5"/>
        <v>24358.21</v>
      </c>
      <c r="AH17" s="321">
        <f t="shared" si="6"/>
        <v>24358.21</v>
      </c>
      <c r="AI17" s="331">
        <f t="shared" si="7"/>
        <v>0</v>
      </c>
    </row>
    <row r="18" spans="1:35" ht="10.5">
      <c r="A18" s="1" t="s">
        <v>537</v>
      </c>
      <c r="B18" s="4">
        <v>15036832</v>
      </c>
      <c r="C18" s="4"/>
      <c r="D18" s="1" t="s">
        <v>504</v>
      </c>
      <c r="E18" s="1" t="s">
        <v>504</v>
      </c>
      <c r="F18" s="181">
        <v>18879.84</v>
      </c>
      <c r="G18" s="184">
        <v>17907.099999999999</v>
      </c>
      <c r="H18" s="229">
        <v>24764.62</v>
      </c>
      <c r="I18" s="192">
        <v>34029.800000000003</v>
      </c>
      <c r="J18" s="195">
        <v>23940.17</v>
      </c>
      <c r="K18" s="238">
        <v>16487.03</v>
      </c>
      <c r="L18" s="306">
        <v>22692.59</v>
      </c>
      <c r="M18" s="212">
        <v>21001.05</v>
      </c>
      <c r="N18" s="217">
        <v>27121.8</v>
      </c>
      <c r="O18" s="220">
        <v>34201.29</v>
      </c>
      <c r="P18" s="304">
        <v>31501.27</v>
      </c>
      <c r="Q18" s="172">
        <v>25848.55</v>
      </c>
      <c r="R18" s="8">
        <f t="shared" si="0"/>
        <v>298375.11</v>
      </c>
      <c r="S18" s="1">
        <f t="shared" si="1"/>
        <v>12</v>
      </c>
      <c r="T18" s="31">
        <f t="shared" si="2"/>
        <v>24864.592499999999</v>
      </c>
      <c r="V18" s="321">
        <f t="shared" si="4"/>
        <v>0</v>
      </c>
      <c r="W18" s="321">
        <f t="shared" si="4"/>
        <v>136008.56</v>
      </c>
      <c r="X18" s="321">
        <f t="shared" si="4"/>
        <v>0</v>
      </c>
      <c r="Y18" s="321">
        <f t="shared" si="4"/>
        <v>0</v>
      </c>
      <c r="Z18" s="321">
        <f t="shared" si="4"/>
        <v>0</v>
      </c>
      <c r="AA18" s="321">
        <f t="shared" si="4"/>
        <v>0</v>
      </c>
      <c r="AB18" s="321">
        <f t="shared" si="4"/>
        <v>0</v>
      </c>
      <c r="AC18" s="321">
        <f t="shared" si="4"/>
        <v>0</v>
      </c>
      <c r="AD18" s="321">
        <f t="shared" si="4"/>
        <v>0</v>
      </c>
      <c r="AE18" s="321">
        <f t="shared" si="4"/>
        <v>0</v>
      </c>
      <c r="AF18" s="321">
        <f t="shared" si="4"/>
        <v>0</v>
      </c>
      <c r="AG18" s="70">
        <f t="shared" si="5"/>
        <v>136008.56</v>
      </c>
      <c r="AH18" s="321">
        <f t="shared" si="6"/>
        <v>136008.56</v>
      </c>
      <c r="AI18" s="331">
        <f t="shared" si="7"/>
        <v>0</v>
      </c>
    </row>
    <row r="19" spans="1:35" ht="10.5">
      <c r="A19" s="1" t="s">
        <v>660</v>
      </c>
      <c r="B19" s="4">
        <v>7002000</v>
      </c>
      <c r="C19" s="4"/>
      <c r="D19" s="1" t="s">
        <v>629</v>
      </c>
      <c r="E19" s="1" t="s">
        <v>505</v>
      </c>
      <c r="F19" s="181">
        <v>9530.7099999999991</v>
      </c>
      <c r="G19" s="184">
        <v>7645.69</v>
      </c>
      <c r="H19" s="192">
        <v>14689.61</v>
      </c>
      <c r="I19" s="192">
        <v>11575.52</v>
      </c>
      <c r="J19" s="195">
        <v>6448.67</v>
      </c>
      <c r="K19" s="238">
        <v>5596.26</v>
      </c>
      <c r="L19" s="306">
        <v>3694.17</v>
      </c>
      <c r="M19" s="212">
        <v>6369.51</v>
      </c>
      <c r="N19" s="217">
        <v>12197.43</v>
      </c>
      <c r="O19" s="220">
        <v>13584.44</v>
      </c>
      <c r="P19" s="304">
        <v>14524.22</v>
      </c>
      <c r="Q19" s="181">
        <v>14460.21</v>
      </c>
      <c r="R19" s="8">
        <f t="shared" si="0"/>
        <v>120316.44</v>
      </c>
      <c r="S19" s="1">
        <f t="shared" si="1"/>
        <v>12</v>
      </c>
      <c r="T19" s="31">
        <f t="shared" si="2"/>
        <v>10026.370000000001</v>
      </c>
      <c r="V19" s="321">
        <f t="shared" si="4"/>
        <v>0</v>
      </c>
      <c r="W19" s="321">
        <f t="shared" si="4"/>
        <v>0</v>
      </c>
      <c r="X19" s="321">
        <f t="shared" si="4"/>
        <v>0</v>
      </c>
      <c r="Y19" s="321">
        <f t="shared" si="4"/>
        <v>0</v>
      </c>
      <c r="Z19" s="321">
        <f t="shared" si="4"/>
        <v>0</v>
      </c>
      <c r="AA19" s="321">
        <f t="shared" si="4"/>
        <v>0</v>
      </c>
      <c r="AB19" s="321">
        <f t="shared" si="4"/>
        <v>0</v>
      </c>
      <c r="AC19" s="321">
        <f t="shared" si="4"/>
        <v>0</v>
      </c>
      <c r="AD19" s="321">
        <f t="shared" si="4"/>
        <v>0</v>
      </c>
      <c r="AE19" s="321">
        <f t="shared" si="4"/>
        <v>55486.46</v>
      </c>
      <c r="AF19" s="321">
        <f t="shared" si="4"/>
        <v>0</v>
      </c>
      <c r="AG19" s="70">
        <f t="shared" si="5"/>
        <v>55486.46</v>
      </c>
      <c r="AH19" s="321">
        <f t="shared" si="6"/>
        <v>55486.46</v>
      </c>
      <c r="AI19" s="331">
        <f t="shared" si="7"/>
        <v>0</v>
      </c>
    </row>
    <row r="20" spans="1:35" ht="10.5">
      <c r="A20" s="1" t="s">
        <v>533</v>
      </c>
      <c r="B20" s="4">
        <v>15007853</v>
      </c>
      <c r="C20" s="4"/>
      <c r="D20" s="1" t="s">
        <v>632</v>
      </c>
      <c r="E20" s="1" t="s">
        <v>238</v>
      </c>
      <c r="F20" s="192">
        <v>4058.48</v>
      </c>
      <c r="G20" s="192">
        <v>3197.6</v>
      </c>
      <c r="H20" s="192">
        <v>4511.3599999999997</v>
      </c>
      <c r="I20" s="192">
        <v>6179.51</v>
      </c>
      <c r="J20" s="212">
        <v>3390.89</v>
      </c>
      <c r="K20" s="212">
        <v>3137.26</v>
      </c>
      <c r="L20" s="212">
        <v>3184.49</v>
      </c>
      <c r="M20" s="212">
        <v>1969.57</v>
      </c>
      <c r="N20" s="181">
        <v>4329.09</v>
      </c>
      <c r="O20" s="181">
        <v>6003.08</v>
      </c>
      <c r="P20" s="181">
        <v>5231.59</v>
      </c>
      <c r="Q20" s="181">
        <v>4915.3599999999997</v>
      </c>
      <c r="R20" s="8">
        <f t="shared" si="0"/>
        <v>50108.28</v>
      </c>
      <c r="S20" s="1">
        <f t="shared" si="1"/>
        <v>12</v>
      </c>
      <c r="T20" s="31">
        <f t="shared" si="2"/>
        <v>4175.6899999999996</v>
      </c>
      <c r="V20" s="321">
        <f t="shared" si="4"/>
        <v>0</v>
      </c>
      <c r="W20" s="321">
        <f t="shared" si="4"/>
        <v>0</v>
      </c>
      <c r="X20" s="321">
        <f t="shared" si="4"/>
        <v>0</v>
      </c>
      <c r="Y20" s="321">
        <f t="shared" si="4"/>
        <v>0</v>
      </c>
      <c r="Z20" s="321">
        <f t="shared" si="4"/>
        <v>0</v>
      </c>
      <c r="AA20" s="321">
        <f t="shared" si="4"/>
        <v>0</v>
      </c>
      <c r="AB20" s="321">
        <f t="shared" si="4"/>
        <v>24475.1</v>
      </c>
      <c r="AC20" s="321">
        <f t="shared" si="4"/>
        <v>0</v>
      </c>
      <c r="AD20" s="321">
        <f t="shared" si="4"/>
        <v>0</v>
      </c>
      <c r="AE20" s="321">
        <f t="shared" si="4"/>
        <v>0</v>
      </c>
      <c r="AF20" s="321">
        <f t="shared" si="4"/>
        <v>0</v>
      </c>
      <c r="AG20" s="70">
        <f t="shared" si="5"/>
        <v>24475.1</v>
      </c>
      <c r="AH20" s="321">
        <f t="shared" si="6"/>
        <v>24475.1</v>
      </c>
      <c r="AI20" s="331">
        <f t="shared" si="7"/>
        <v>0</v>
      </c>
    </row>
    <row r="21" spans="1:35" ht="10.5">
      <c r="A21" s="1" t="s">
        <v>539</v>
      </c>
      <c r="B21" s="4">
        <v>7000700</v>
      </c>
      <c r="C21" s="4">
        <v>99</v>
      </c>
      <c r="D21" s="1" t="s">
        <v>239</v>
      </c>
      <c r="E21" s="1" t="s">
        <v>239</v>
      </c>
      <c r="F21" s="181">
        <v>651</v>
      </c>
      <c r="G21" s="184">
        <v>666</v>
      </c>
      <c r="H21" s="229">
        <v>952</v>
      </c>
      <c r="I21" s="192">
        <v>939.25</v>
      </c>
      <c r="J21" s="195">
        <v>964.75</v>
      </c>
      <c r="K21" s="238">
        <v>1062.5</v>
      </c>
      <c r="L21" s="306">
        <v>998.75</v>
      </c>
      <c r="M21" s="212">
        <v>977.5</v>
      </c>
      <c r="N21" s="217">
        <v>1003</v>
      </c>
      <c r="O21" s="220">
        <v>1041.25</v>
      </c>
      <c r="P21" s="304">
        <v>1113.5</v>
      </c>
      <c r="Q21" s="172">
        <v>1117.75</v>
      </c>
      <c r="R21" s="8">
        <f t="shared" si="0"/>
        <v>11487.25</v>
      </c>
      <c r="S21" s="1">
        <f t="shared" si="1"/>
        <v>12</v>
      </c>
      <c r="T21" s="31">
        <f t="shared" si="2"/>
        <v>957.27083333333337</v>
      </c>
      <c r="V21" s="321">
        <f t="shared" si="4"/>
        <v>5235.5</v>
      </c>
      <c r="W21" s="321">
        <f t="shared" si="4"/>
        <v>0</v>
      </c>
      <c r="X21" s="321">
        <f t="shared" si="4"/>
        <v>0</v>
      </c>
      <c r="Y21" s="321">
        <f t="shared" si="4"/>
        <v>0</v>
      </c>
      <c r="Z21" s="321">
        <f t="shared" si="4"/>
        <v>0</v>
      </c>
      <c r="AA21" s="321">
        <f t="shared" si="4"/>
        <v>0</v>
      </c>
      <c r="AB21" s="321">
        <f t="shared" si="4"/>
        <v>0</v>
      </c>
      <c r="AC21" s="321">
        <f t="shared" si="4"/>
        <v>0</v>
      </c>
      <c r="AD21" s="321">
        <f t="shared" si="4"/>
        <v>0</v>
      </c>
      <c r="AE21" s="321">
        <f t="shared" si="4"/>
        <v>0</v>
      </c>
      <c r="AF21" s="321">
        <f t="shared" si="4"/>
        <v>0</v>
      </c>
      <c r="AG21" s="70">
        <f t="shared" si="5"/>
        <v>5235.5</v>
      </c>
      <c r="AH21" s="321">
        <f t="shared" si="6"/>
        <v>5235.5</v>
      </c>
      <c r="AI21" s="331">
        <f t="shared" si="7"/>
        <v>0</v>
      </c>
    </row>
    <row r="22" spans="1:35" ht="10.5">
      <c r="A22" s="1" t="s">
        <v>533</v>
      </c>
      <c r="B22" s="4">
        <v>15005502</v>
      </c>
      <c r="C22" s="4">
        <v>137</v>
      </c>
      <c r="D22" s="1" t="s">
        <v>597</v>
      </c>
      <c r="E22" s="1" t="s">
        <v>506</v>
      </c>
      <c r="F22" s="184">
        <v>30102.48</v>
      </c>
      <c r="G22" s="184">
        <v>25024.560000000001</v>
      </c>
      <c r="H22" s="229">
        <v>32284.19</v>
      </c>
      <c r="I22" s="192">
        <v>46384.42</v>
      </c>
      <c r="J22" s="195">
        <v>33286.33</v>
      </c>
      <c r="K22" s="238">
        <v>27538.98</v>
      </c>
      <c r="L22" s="306">
        <v>23528.09</v>
      </c>
      <c r="M22" s="212">
        <v>27737.63</v>
      </c>
      <c r="N22" s="217">
        <v>37620.32</v>
      </c>
      <c r="O22" s="220">
        <v>46981.46</v>
      </c>
      <c r="P22" s="304">
        <v>48844.57</v>
      </c>
      <c r="Q22" s="172">
        <v>34882.22</v>
      </c>
      <c r="R22" s="8">
        <f t="shared" si="0"/>
        <v>414215.25</v>
      </c>
      <c r="S22" s="1">
        <f t="shared" si="1"/>
        <v>12</v>
      </c>
      <c r="T22" s="31">
        <f t="shared" si="2"/>
        <v>34517.9375</v>
      </c>
      <c r="V22" s="321">
        <f t="shared" si="4"/>
        <v>0</v>
      </c>
      <c r="W22" s="321">
        <f t="shared" si="4"/>
        <v>0</v>
      </c>
      <c r="X22" s="321">
        <f t="shared" si="4"/>
        <v>0</v>
      </c>
      <c r="Y22" s="321">
        <f t="shared" si="4"/>
        <v>0</v>
      </c>
      <c r="Z22" s="321">
        <f t="shared" si="4"/>
        <v>0</v>
      </c>
      <c r="AA22" s="321">
        <f t="shared" si="4"/>
        <v>0</v>
      </c>
      <c r="AB22" s="321">
        <f t="shared" si="4"/>
        <v>194620.96</v>
      </c>
      <c r="AC22" s="321">
        <f t="shared" si="4"/>
        <v>0</v>
      </c>
      <c r="AD22" s="321">
        <f t="shared" si="4"/>
        <v>0</v>
      </c>
      <c r="AE22" s="321">
        <f t="shared" si="4"/>
        <v>0</v>
      </c>
      <c r="AF22" s="321">
        <f t="shared" si="4"/>
        <v>0</v>
      </c>
      <c r="AG22" s="70">
        <f t="shared" si="5"/>
        <v>194620.96</v>
      </c>
      <c r="AH22" s="321">
        <f t="shared" si="6"/>
        <v>194620.96</v>
      </c>
      <c r="AI22" s="331">
        <f t="shared" si="7"/>
        <v>0</v>
      </c>
    </row>
    <row r="23" spans="1:35" ht="10.5">
      <c r="A23" s="1" t="s">
        <v>533</v>
      </c>
      <c r="B23" s="4">
        <v>7000800</v>
      </c>
      <c r="C23" s="4">
        <v>100</v>
      </c>
      <c r="D23" s="1" t="s">
        <v>627</v>
      </c>
      <c r="E23" s="1" t="s">
        <v>241</v>
      </c>
      <c r="F23" s="181">
        <v>4490.13</v>
      </c>
      <c r="G23" s="184">
        <v>4155.99</v>
      </c>
      <c r="H23" s="229">
        <v>5511.64</v>
      </c>
      <c r="I23" s="192">
        <v>6323.85</v>
      </c>
      <c r="J23" s="195">
        <v>4709.57</v>
      </c>
      <c r="K23" s="238">
        <v>5093.53</v>
      </c>
      <c r="L23" s="306">
        <v>4373.53</v>
      </c>
      <c r="M23" s="212">
        <v>4810.59</v>
      </c>
      <c r="N23" s="217">
        <v>5955.52</v>
      </c>
      <c r="O23" s="220">
        <v>6435.22</v>
      </c>
      <c r="P23" s="304">
        <v>6166.97</v>
      </c>
      <c r="Q23" s="172">
        <v>5847.27</v>
      </c>
      <c r="R23" s="8">
        <f t="shared" si="0"/>
        <v>63873.810000000012</v>
      </c>
      <c r="S23" s="1">
        <f t="shared" si="1"/>
        <v>12</v>
      </c>
      <c r="T23" s="31">
        <f t="shared" si="2"/>
        <v>5322.817500000001</v>
      </c>
      <c r="V23" s="321">
        <f t="shared" si="4"/>
        <v>0</v>
      </c>
      <c r="W23" s="321">
        <f t="shared" si="4"/>
        <v>0</v>
      </c>
      <c r="X23" s="321">
        <f t="shared" si="4"/>
        <v>0</v>
      </c>
      <c r="Y23" s="321">
        <f t="shared" si="4"/>
        <v>0</v>
      </c>
      <c r="Z23" s="321">
        <f t="shared" si="4"/>
        <v>0</v>
      </c>
      <c r="AA23" s="321">
        <f t="shared" si="4"/>
        <v>0</v>
      </c>
      <c r="AB23" s="321">
        <f t="shared" si="4"/>
        <v>30284.71</v>
      </c>
      <c r="AC23" s="321">
        <f t="shared" si="4"/>
        <v>0</v>
      </c>
      <c r="AD23" s="321">
        <f t="shared" si="4"/>
        <v>0</v>
      </c>
      <c r="AE23" s="321">
        <f t="shared" si="4"/>
        <v>0</v>
      </c>
      <c r="AF23" s="321">
        <f t="shared" si="4"/>
        <v>0</v>
      </c>
      <c r="AG23" s="70">
        <f t="shared" si="5"/>
        <v>30284.71</v>
      </c>
      <c r="AH23" s="321">
        <f t="shared" si="6"/>
        <v>30284.71</v>
      </c>
      <c r="AI23" s="331">
        <f t="shared" si="7"/>
        <v>0</v>
      </c>
    </row>
    <row r="24" spans="1:35" ht="10.5">
      <c r="A24" s="1" t="s">
        <v>535</v>
      </c>
      <c r="B24" s="42">
        <v>7008100</v>
      </c>
      <c r="C24" s="42">
        <v>140</v>
      </c>
      <c r="D24" s="11" t="s">
        <v>259</v>
      </c>
      <c r="E24" s="11" t="s">
        <v>384</v>
      </c>
      <c r="F24" s="181">
        <v>43976.53</v>
      </c>
      <c r="G24" s="184">
        <v>39172.57</v>
      </c>
      <c r="H24" s="229">
        <v>56372.71</v>
      </c>
      <c r="I24" s="192">
        <v>75348.5</v>
      </c>
      <c r="J24" s="195">
        <v>53749.96</v>
      </c>
      <c r="K24" s="238">
        <v>30667.42</v>
      </c>
      <c r="L24" s="306">
        <v>39567.019999999997</v>
      </c>
      <c r="M24" s="212">
        <v>42589.97</v>
      </c>
      <c r="N24" s="217">
        <v>62289.48</v>
      </c>
      <c r="O24" s="220">
        <v>76056.66</v>
      </c>
      <c r="P24" s="304">
        <v>71320.14</v>
      </c>
      <c r="Q24" s="172">
        <v>55466.57</v>
      </c>
      <c r="R24" s="8">
        <f t="shared" si="0"/>
        <v>646577.53</v>
      </c>
      <c r="S24" s="1">
        <f t="shared" si="1"/>
        <v>12</v>
      </c>
      <c r="T24" s="31">
        <f t="shared" si="2"/>
        <v>53881.460833333338</v>
      </c>
      <c r="V24" s="321">
        <f t="shared" si="4"/>
        <v>0</v>
      </c>
      <c r="W24" s="321">
        <f t="shared" si="4"/>
        <v>0</v>
      </c>
      <c r="X24" s="321">
        <f t="shared" si="4"/>
        <v>0</v>
      </c>
      <c r="Y24" s="321">
        <f t="shared" si="4"/>
        <v>0</v>
      </c>
      <c r="Z24" s="321">
        <f t="shared" si="4"/>
        <v>0</v>
      </c>
      <c r="AA24" s="321">
        <f t="shared" si="4"/>
        <v>299287.69</v>
      </c>
      <c r="AB24" s="321">
        <f t="shared" si="4"/>
        <v>0</v>
      </c>
      <c r="AC24" s="321">
        <f t="shared" si="4"/>
        <v>0</v>
      </c>
      <c r="AD24" s="321">
        <f t="shared" si="4"/>
        <v>0</v>
      </c>
      <c r="AE24" s="321">
        <f t="shared" si="4"/>
        <v>0</v>
      </c>
      <c r="AF24" s="321">
        <f t="shared" si="4"/>
        <v>0</v>
      </c>
      <c r="AG24" s="70">
        <f t="shared" si="5"/>
        <v>299287.69</v>
      </c>
      <c r="AH24" s="321">
        <f t="shared" si="6"/>
        <v>299287.69</v>
      </c>
      <c r="AI24" s="331">
        <f t="shared" si="7"/>
        <v>0</v>
      </c>
    </row>
    <row r="25" spans="1:35" ht="10.5">
      <c r="A25" s="1" t="s">
        <v>658</v>
      </c>
      <c r="B25" s="4">
        <v>7007200</v>
      </c>
      <c r="C25" s="4">
        <v>102</v>
      </c>
      <c r="D25" s="1" t="s">
        <v>242</v>
      </c>
      <c r="E25" s="1" t="s">
        <v>242</v>
      </c>
      <c r="F25" s="181">
        <v>9698.08</v>
      </c>
      <c r="G25" s="184">
        <v>9605.91</v>
      </c>
      <c r="H25" s="229">
        <v>13543.22</v>
      </c>
      <c r="I25" s="192">
        <v>13551.05</v>
      </c>
      <c r="J25" s="195">
        <v>10016.74</v>
      </c>
      <c r="K25" s="238">
        <v>7810.01</v>
      </c>
      <c r="L25" s="306">
        <v>9508.06</v>
      </c>
      <c r="M25" s="212">
        <v>7859.07</v>
      </c>
      <c r="N25" s="217">
        <v>12394.35</v>
      </c>
      <c r="O25" s="220">
        <v>13607.64</v>
      </c>
      <c r="P25" s="304">
        <v>11917.38</v>
      </c>
      <c r="Q25" s="172">
        <v>12794.6</v>
      </c>
      <c r="R25" s="8">
        <f t="shared" si="0"/>
        <v>132306.10999999999</v>
      </c>
      <c r="S25" s="1">
        <f t="shared" si="1"/>
        <v>12</v>
      </c>
      <c r="T25" s="31">
        <f t="shared" si="2"/>
        <v>11025.509166666665</v>
      </c>
      <c r="V25" s="321">
        <f t="shared" si="4"/>
        <v>0</v>
      </c>
      <c r="W25" s="321">
        <f t="shared" si="4"/>
        <v>0</v>
      </c>
      <c r="X25" s="321">
        <f t="shared" si="4"/>
        <v>0</v>
      </c>
      <c r="Y25" s="321">
        <f t="shared" si="4"/>
        <v>0</v>
      </c>
      <c r="Z25" s="321">
        <f t="shared" si="4"/>
        <v>0</v>
      </c>
      <c r="AA25" s="321">
        <f t="shared" si="4"/>
        <v>0</v>
      </c>
      <c r="AB25" s="321">
        <f t="shared" si="4"/>
        <v>0</v>
      </c>
      <c r="AC25" s="321">
        <f t="shared" si="4"/>
        <v>0</v>
      </c>
      <c r="AD25" s="321">
        <f t="shared" si="4"/>
        <v>64225.009999999995</v>
      </c>
      <c r="AE25" s="321">
        <f t="shared" si="4"/>
        <v>0</v>
      </c>
      <c r="AF25" s="321">
        <f t="shared" si="4"/>
        <v>0</v>
      </c>
      <c r="AG25" s="70">
        <f t="shared" si="5"/>
        <v>64225.009999999995</v>
      </c>
      <c r="AH25" s="321">
        <f t="shared" si="6"/>
        <v>64225.009999999995</v>
      </c>
      <c r="AI25" s="331">
        <f t="shared" si="7"/>
        <v>0</v>
      </c>
    </row>
    <row r="26" spans="1:35" ht="10.5">
      <c r="A26" s="1" t="s">
        <v>535</v>
      </c>
      <c r="B26" s="4">
        <v>15006827</v>
      </c>
      <c r="C26" s="4">
        <v>4124</v>
      </c>
      <c r="D26" s="1" t="s">
        <v>598</v>
      </c>
      <c r="E26" s="1" t="s">
        <v>344</v>
      </c>
      <c r="F26" s="181">
        <v>19311.48</v>
      </c>
      <c r="G26" s="184">
        <v>16179.24</v>
      </c>
      <c r="H26" s="229">
        <v>20563.63</v>
      </c>
      <c r="I26" s="192">
        <v>31829.7</v>
      </c>
      <c r="J26" s="195">
        <v>19335.12</v>
      </c>
      <c r="K26" s="238">
        <v>10927.6</v>
      </c>
      <c r="L26" s="306">
        <v>9333.68</v>
      </c>
      <c r="M26" s="212">
        <v>9743.02</v>
      </c>
      <c r="N26" s="217">
        <v>18998.689999999999</v>
      </c>
      <c r="O26" s="220">
        <v>29390.880000000001</v>
      </c>
      <c r="P26" s="304">
        <v>28922.19</v>
      </c>
      <c r="Q26" s="172">
        <v>26937.61</v>
      </c>
      <c r="R26" s="8">
        <f t="shared" si="0"/>
        <v>241472.84000000003</v>
      </c>
      <c r="S26" s="1">
        <f t="shared" si="1"/>
        <v>12</v>
      </c>
      <c r="T26" s="31">
        <f t="shared" si="2"/>
        <v>20122.736666666668</v>
      </c>
      <c r="V26" s="321">
        <f t="shared" si="4"/>
        <v>0</v>
      </c>
      <c r="W26" s="321">
        <f t="shared" si="4"/>
        <v>0</v>
      </c>
      <c r="X26" s="321">
        <f t="shared" si="4"/>
        <v>0</v>
      </c>
      <c r="Y26" s="321">
        <f t="shared" si="4"/>
        <v>0</v>
      </c>
      <c r="Z26" s="321">
        <f t="shared" si="4"/>
        <v>0</v>
      </c>
      <c r="AA26" s="321">
        <f t="shared" si="4"/>
        <v>118146.77</v>
      </c>
      <c r="AB26" s="321">
        <f t="shared" si="4"/>
        <v>0</v>
      </c>
      <c r="AC26" s="321">
        <f t="shared" si="4"/>
        <v>0</v>
      </c>
      <c r="AD26" s="321">
        <f t="shared" si="4"/>
        <v>0</v>
      </c>
      <c r="AE26" s="321">
        <f t="shared" si="4"/>
        <v>0</v>
      </c>
      <c r="AF26" s="321">
        <f t="shared" si="4"/>
        <v>0</v>
      </c>
      <c r="AG26" s="70">
        <f t="shared" si="5"/>
        <v>118146.77</v>
      </c>
      <c r="AH26" s="321">
        <f t="shared" si="6"/>
        <v>118146.77</v>
      </c>
      <c r="AI26" s="331">
        <f t="shared" si="7"/>
        <v>0</v>
      </c>
    </row>
    <row r="27" spans="1:35" ht="10.5">
      <c r="A27" s="1" t="s">
        <v>537</v>
      </c>
      <c r="B27" s="4">
        <v>15036833</v>
      </c>
      <c r="C27" s="4"/>
      <c r="D27" s="1" t="s">
        <v>591</v>
      </c>
      <c r="E27" s="1" t="s">
        <v>591</v>
      </c>
      <c r="F27" s="181">
        <v>10039.43</v>
      </c>
      <c r="G27" s="184">
        <v>8859.91</v>
      </c>
      <c r="H27" s="229">
        <v>14487.72</v>
      </c>
      <c r="I27" s="192">
        <v>17419.21</v>
      </c>
      <c r="J27" s="195">
        <v>12204.76</v>
      </c>
      <c r="K27" s="238">
        <v>7224.51</v>
      </c>
      <c r="L27" s="306">
        <v>9527.74</v>
      </c>
      <c r="M27" s="212">
        <v>9790.7199999999993</v>
      </c>
      <c r="N27" s="217">
        <v>13286.05</v>
      </c>
      <c r="O27" s="220">
        <v>16687.740000000002</v>
      </c>
      <c r="P27" s="304">
        <v>16171.04</v>
      </c>
      <c r="Q27" s="172">
        <v>15190.84</v>
      </c>
      <c r="R27" s="8">
        <f t="shared" si="0"/>
        <v>150889.67000000001</v>
      </c>
      <c r="S27" s="1">
        <f t="shared" si="1"/>
        <v>12</v>
      </c>
      <c r="T27" s="31">
        <f t="shared" si="2"/>
        <v>12574.139166666668</v>
      </c>
      <c r="V27" s="321">
        <f t="shared" si="4"/>
        <v>0</v>
      </c>
      <c r="W27" s="321">
        <f t="shared" si="4"/>
        <v>70235.539999999994</v>
      </c>
      <c r="X27" s="321">
        <f t="shared" si="4"/>
        <v>0</v>
      </c>
      <c r="Y27" s="321">
        <f t="shared" si="4"/>
        <v>0</v>
      </c>
      <c r="Z27" s="321">
        <f t="shared" si="4"/>
        <v>0</v>
      </c>
      <c r="AA27" s="321">
        <f t="shared" si="4"/>
        <v>0</v>
      </c>
      <c r="AB27" s="321">
        <f t="shared" si="4"/>
        <v>0</v>
      </c>
      <c r="AC27" s="321">
        <f t="shared" si="4"/>
        <v>0</v>
      </c>
      <c r="AD27" s="321">
        <f t="shared" si="4"/>
        <v>0</v>
      </c>
      <c r="AE27" s="321">
        <f t="shared" si="4"/>
        <v>0</v>
      </c>
      <c r="AF27" s="321">
        <f t="shared" si="4"/>
        <v>0</v>
      </c>
      <c r="AG27" s="70">
        <f t="shared" si="5"/>
        <v>70235.539999999994</v>
      </c>
      <c r="AH27" s="321">
        <f t="shared" si="6"/>
        <v>70235.539999999994</v>
      </c>
      <c r="AI27" s="331">
        <f t="shared" si="7"/>
        <v>0</v>
      </c>
    </row>
    <row r="28" spans="1:35" ht="10.5">
      <c r="A28" s="1" t="s">
        <v>531</v>
      </c>
      <c r="B28" s="4">
        <v>15004535</v>
      </c>
      <c r="C28" s="4">
        <v>124</v>
      </c>
      <c r="D28" s="1" t="s">
        <v>571</v>
      </c>
      <c r="E28" s="1" t="s">
        <v>112</v>
      </c>
      <c r="F28" s="181">
        <v>1430.53</v>
      </c>
      <c r="G28" s="184">
        <v>1264.3499999999999</v>
      </c>
      <c r="H28" s="229">
        <v>1967.5</v>
      </c>
      <c r="I28" s="192">
        <v>2771.85</v>
      </c>
      <c r="J28" s="195">
        <v>1802.54</v>
      </c>
      <c r="K28" s="238">
        <v>1884.45</v>
      </c>
      <c r="L28" s="306">
        <v>1363.58</v>
      </c>
      <c r="M28" s="212">
        <v>1411.63</v>
      </c>
      <c r="N28" s="217">
        <v>1786.66</v>
      </c>
      <c r="O28" s="220">
        <v>2520</v>
      </c>
      <c r="P28" s="304">
        <v>1938.54</v>
      </c>
      <c r="Q28" s="172">
        <v>1905.33</v>
      </c>
      <c r="R28" s="8">
        <f t="shared" ref="R28:R63" si="8">+SUM(F28:Q28)</f>
        <v>22046.959999999999</v>
      </c>
      <c r="S28" s="1">
        <f t="shared" si="1"/>
        <v>12</v>
      </c>
      <c r="T28" s="31">
        <f t="shared" si="2"/>
        <v>1837.2466666666667</v>
      </c>
      <c r="V28" s="321">
        <f t="shared" si="4"/>
        <v>0</v>
      </c>
      <c r="W28" s="321">
        <f t="shared" si="4"/>
        <v>0</v>
      </c>
      <c r="X28" s="321">
        <f t="shared" si="4"/>
        <v>11121.220000000001</v>
      </c>
      <c r="Y28" s="321">
        <f t="shared" si="4"/>
        <v>0</v>
      </c>
      <c r="Z28" s="321">
        <f t="shared" si="4"/>
        <v>0</v>
      </c>
      <c r="AA28" s="321">
        <f t="shared" si="4"/>
        <v>0</v>
      </c>
      <c r="AB28" s="321">
        <f t="shared" si="4"/>
        <v>0</v>
      </c>
      <c r="AC28" s="321">
        <f t="shared" si="4"/>
        <v>0</v>
      </c>
      <c r="AD28" s="321">
        <f t="shared" si="4"/>
        <v>0</v>
      </c>
      <c r="AE28" s="321">
        <f t="shared" si="4"/>
        <v>0</v>
      </c>
      <c r="AF28" s="321">
        <f t="shared" si="4"/>
        <v>0</v>
      </c>
      <c r="AG28" s="70">
        <f t="shared" si="5"/>
        <v>11121.220000000001</v>
      </c>
      <c r="AH28" s="321">
        <f t="shared" si="6"/>
        <v>11121.220000000001</v>
      </c>
      <c r="AI28" s="331">
        <f t="shared" si="7"/>
        <v>0</v>
      </c>
    </row>
    <row r="29" spans="1:35" ht="10.5">
      <c r="A29" s="1" t="s">
        <v>659</v>
      </c>
      <c r="B29" s="4">
        <v>7008400</v>
      </c>
      <c r="C29" s="4"/>
      <c r="D29" s="1" t="s">
        <v>565</v>
      </c>
      <c r="E29" s="1" t="s">
        <v>565</v>
      </c>
      <c r="F29" s="181">
        <v>5822.38</v>
      </c>
      <c r="G29" s="184">
        <v>5607.24</v>
      </c>
      <c r="H29" s="229">
        <v>7295.65</v>
      </c>
      <c r="I29" s="192">
        <v>9403.26</v>
      </c>
      <c r="J29" s="195">
        <v>4992.16</v>
      </c>
      <c r="K29" s="238">
        <v>4593.3900000000003</v>
      </c>
      <c r="L29" s="306">
        <v>5317.27</v>
      </c>
      <c r="M29" s="212">
        <v>4650</v>
      </c>
      <c r="N29" s="217">
        <v>6969.17</v>
      </c>
      <c r="O29" s="222"/>
      <c r="P29" s="316"/>
      <c r="Q29" s="173"/>
      <c r="R29" s="8">
        <f t="shared" si="8"/>
        <v>54650.520000000004</v>
      </c>
      <c r="S29" s="1">
        <f t="shared" si="1"/>
        <v>9</v>
      </c>
      <c r="T29" s="31">
        <f t="shared" si="2"/>
        <v>6072.2800000000007</v>
      </c>
      <c r="V29" s="321">
        <f t="shared" si="4"/>
        <v>0</v>
      </c>
      <c r="W29" s="321">
        <f t="shared" si="4"/>
        <v>0</v>
      </c>
      <c r="X29" s="321">
        <f t="shared" si="4"/>
        <v>0</v>
      </c>
      <c r="Y29" s="321">
        <f t="shared" si="4"/>
        <v>0</v>
      </c>
      <c r="Z29" s="321">
        <f t="shared" si="4"/>
        <v>0</v>
      </c>
      <c r="AA29" s="321">
        <f t="shared" si="4"/>
        <v>0</v>
      </c>
      <c r="AB29" s="321">
        <f t="shared" si="4"/>
        <v>0</v>
      </c>
      <c r="AC29" s="321">
        <f t="shared" si="4"/>
        <v>37714.080000000002</v>
      </c>
      <c r="AD29" s="321">
        <f t="shared" si="4"/>
        <v>0</v>
      </c>
      <c r="AE29" s="321">
        <f t="shared" si="4"/>
        <v>0</v>
      </c>
      <c r="AF29" s="321">
        <f t="shared" si="4"/>
        <v>0</v>
      </c>
      <c r="AG29" s="70">
        <f t="shared" si="5"/>
        <v>37714.080000000002</v>
      </c>
      <c r="AH29" s="321">
        <f t="shared" si="6"/>
        <v>37714.080000000002</v>
      </c>
      <c r="AI29" s="331">
        <f t="shared" si="7"/>
        <v>0</v>
      </c>
    </row>
    <row r="30" spans="1:35" ht="10.5">
      <c r="A30" s="1" t="s">
        <v>659</v>
      </c>
      <c r="B30" s="4">
        <v>15056860</v>
      </c>
      <c r="C30" s="4"/>
      <c r="D30" s="1" t="s">
        <v>565</v>
      </c>
      <c r="E30" s="1" t="s">
        <v>565</v>
      </c>
      <c r="F30" s="180"/>
      <c r="G30" s="185"/>
      <c r="H30" s="233"/>
      <c r="I30" s="193"/>
      <c r="J30" s="196"/>
      <c r="K30" s="240"/>
      <c r="L30" s="307"/>
      <c r="M30" s="211"/>
      <c r="N30" s="217">
        <v>976.39</v>
      </c>
      <c r="O30" s="220">
        <v>9000.24</v>
      </c>
      <c r="P30" s="304">
        <v>8966.52</v>
      </c>
      <c r="Q30" s="172">
        <v>7448.71</v>
      </c>
      <c r="R30" s="8">
        <f>+SUM(F30:Q30)</f>
        <v>26391.86</v>
      </c>
      <c r="S30" s="1">
        <f>COUNT(F30:Q30)</f>
        <v>4</v>
      </c>
      <c r="T30" s="31">
        <f>+IF(R30=0,0,R30/S30)</f>
        <v>6597.9650000000001</v>
      </c>
      <c r="V30" s="321">
        <f t="shared" si="4"/>
        <v>0</v>
      </c>
      <c r="W30" s="321">
        <f t="shared" si="4"/>
        <v>0</v>
      </c>
      <c r="X30" s="321">
        <f t="shared" si="4"/>
        <v>0</v>
      </c>
      <c r="Y30" s="321">
        <f t="shared" si="4"/>
        <v>0</v>
      </c>
      <c r="Z30" s="321">
        <f t="shared" si="4"/>
        <v>0</v>
      </c>
      <c r="AA30" s="321">
        <f t="shared" si="4"/>
        <v>0</v>
      </c>
      <c r="AB30" s="321">
        <f t="shared" si="4"/>
        <v>0</v>
      </c>
      <c r="AC30" s="321">
        <f t="shared" si="4"/>
        <v>0</v>
      </c>
      <c r="AD30" s="321">
        <f t="shared" si="4"/>
        <v>0</v>
      </c>
      <c r="AE30" s="321">
        <f t="shared" si="4"/>
        <v>0</v>
      </c>
      <c r="AF30" s="321">
        <f t="shared" si="4"/>
        <v>0</v>
      </c>
      <c r="AG30" s="70">
        <f t="shared" si="5"/>
        <v>0</v>
      </c>
      <c r="AH30" s="321">
        <f t="shared" si="6"/>
        <v>0</v>
      </c>
      <c r="AI30" s="331">
        <f t="shared" si="7"/>
        <v>0</v>
      </c>
    </row>
    <row r="31" spans="1:35" ht="10.5">
      <c r="A31" s="1" t="s">
        <v>659</v>
      </c>
      <c r="B31" s="4">
        <v>15007588</v>
      </c>
      <c r="C31" s="4"/>
      <c r="D31" s="1" t="s">
        <v>620</v>
      </c>
      <c r="E31" s="1" t="s">
        <v>667</v>
      </c>
      <c r="F31" s="181">
        <v>20291.63</v>
      </c>
      <c r="G31" s="184">
        <v>16563.27</v>
      </c>
      <c r="H31" s="229">
        <v>24812.06</v>
      </c>
      <c r="I31" s="192">
        <v>29792.65</v>
      </c>
      <c r="J31" s="195">
        <v>21263.63</v>
      </c>
      <c r="K31" s="238">
        <v>17114.689999999999</v>
      </c>
      <c r="L31" s="306">
        <v>17279.39</v>
      </c>
      <c r="M31" s="212">
        <v>17910.77</v>
      </c>
      <c r="N31" s="217">
        <v>27592.04</v>
      </c>
      <c r="O31" s="220">
        <v>32083.87</v>
      </c>
      <c r="P31" s="304">
        <v>33535.58</v>
      </c>
      <c r="Q31" s="172">
        <v>28648.99</v>
      </c>
      <c r="R31" s="8">
        <f>+SUM(F31:Q31)</f>
        <v>286888.57</v>
      </c>
      <c r="S31" s="1">
        <f>COUNT(F31:Q31)</f>
        <v>12</v>
      </c>
      <c r="T31" s="31">
        <f>+IF(R31=0,0,R31/S31)</f>
        <v>23907.380833333333</v>
      </c>
      <c r="V31" s="321">
        <f t="shared" si="4"/>
        <v>0</v>
      </c>
      <c r="W31" s="321">
        <f t="shared" si="4"/>
        <v>0</v>
      </c>
      <c r="X31" s="321">
        <f t="shared" si="4"/>
        <v>0</v>
      </c>
      <c r="Y31" s="321">
        <f t="shared" si="4"/>
        <v>0</v>
      </c>
      <c r="Z31" s="321">
        <f t="shared" si="4"/>
        <v>0</v>
      </c>
      <c r="AA31" s="321">
        <f t="shared" si="4"/>
        <v>0</v>
      </c>
      <c r="AB31" s="321">
        <f t="shared" si="4"/>
        <v>0</v>
      </c>
      <c r="AC31" s="321">
        <f t="shared" si="4"/>
        <v>129837.93000000002</v>
      </c>
      <c r="AD31" s="321">
        <f t="shared" si="4"/>
        <v>0</v>
      </c>
      <c r="AE31" s="321">
        <f t="shared" si="4"/>
        <v>0</v>
      </c>
      <c r="AF31" s="321">
        <f t="shared" si="4"/>
        <v>0</v>
      </c>
      <c r="AG31" s="70">
        <f t="shared" si="5"/>
        <v>129837.93000000002</v>
      </c>
      <c r="AH31" s="321">
        <f t="shared" si="6"/>
        <v>129837.93000000002</v>
      </c>
      <c r="AI31" s="331">
        <f t="shared" si="7"/>
        <v>0</v>
      </c>
    </row>
    <row r="32" spans="1:35" ht="10.5">
      <c r="A32" s="1" t="s">
        <v>658</v>
      </c>
      <c r="B32" s="4">
        <v>15034969</v>
      </c>
      <c r="C32" s="4"/>
      <c r="D32" s="1" t="s">
        <v>668</v>
      </c>
      <c r="E32" s="1" t="s">
        <v>667</v>
      </c>
      <c r="F32" s="181">
        <v>15047.93</v>
      </c>
      <c r="G32" s="184">
        <v>10875.32</v>
      </c>
      <c r="H32" s="229">
        <v>17720.84</v>
      </c>
      <c r="I32" s="192">
        <v>22711.77</v>
      </c>
      <c r="J32" s="195">
        <v>17845.400000000001</v>
      </c>
      <c r="K32" s="238">
        <v>9466.5</v>
      </c>
      <c r="L32" s="306">
        <v>12508</v>
      </c>
      <c r="M32" s="212">
        <v>11491</v>
      </c>
      <c r="N32" s="217">
        <v>21024</v>
      </c>
      <c r="O32" s="220">
        <v>23937</v>
      </c>
      <c r="P32" s="304">
        <v>23745</v>
      </c>
      <c r="Q32" s="172">
        <v>23803</v>
      </c>
      <c r="R32" s="8">
        <f t="shared" si="8"/>
        <v>210175.76</v>
      </c>
      <c r="S32" s="1">
        <f t="shared" si="1"/>
        <v>12</v>
      </c>
      <c r="T32" s="31">
        <f t="shared" si="2"/>
        <v>17514.646666666667</v>
      </c>
      <c r="V32" s="321">
        <f t="shared" si="4"/>
        <v>0</v>
      </c>
      <c r="W32" s="321">
        <f t="shared" si="4"/>
        <v>0</v>
      </c>
      <c r="X32" s="321">
        <f t="shared" si="4"/>
        <v>0</v>
      </c>
      <c r="Y32" s="321">
        <f t="shared" si="4"/>
        <v>0</v>
      </c>
      <c r="Z32" s="321">
        <f t="shared" si="4"/>
        <v>0</v>
      </c>
      <c r="AA32" s="321">
        <f t="shared" si="4"/>
        <v>0</v>
      </c>
      <c r="AB32" s="321">
        <f t="shared" si="4"/>
        <v>0</v>
      </c>
      <c r="AC32" s="321">
        <f t="shared" si="4"/>
        <v>0</v>
      </c>
      <c r="AD32" s="321">
        <f t="shared" si="4"/>
        <v>93667.760000000009</v>
      </c>
      <c r="AE32" s="321">
        <f t="shared" si="4"/>
        <v>0</v>
      </c>
      <c r="AF32" s="321">
        <f t="shared" si="4"/>
        <v>0</v>
      </c>
      <c r="AG32" s="70">
        <f t="shared" si="5"/>
        <v>93667.760000000009</v>
      </c>
      <c r="AH32" s="321">
        <f t="shared" si="6"/>
        <v>93667.760000000009</v>
      </c>
      <c r="AI32" s="331">
        <f t="shared" si="7"/>
        <v>0</v>
      </c>
    </row>
    <row r="33" spans="1:35" ht="10.5">
      <c r="A33" s="1" t="s">
        <v>531</v>
      </c>
      <c r="B33" s="4">
        <v>7003500</v>
      </c>
      <c r="C33" s="4">
        <v>136</v>
      </c>
      <c r="D33" s="1" t="s">
        <v>350</v>
      </c>
      <c r="E33" s="1" t="s">
        <v>350</v>
      </c>
      <c r="F33" s="181">
        <v>66310.8</v>
      </c>
      <c r="G33" s="184">
        <v>52271.64</v>
      </c>
      <c r="H33" s="229">
        <v>83452.83</v>
      </c>
      <c r="I33" s="192">
        <v>126776.99</v>
      </c>
      <c r="J33" s="195">
        <v>75317.48</v>
      </c>
      <c r="K33" s="238">
        <v>52643.99</v>
      </c>
      <c r="L33" s="306">
        <v>77425.06</v>
      </c>
      <c r="M33" s="212">
        <v>70837.56</v>
      </c>
      <c r="N33" s="217">
        <v>102233.92</v>
      </c>
      <c r="O33" s="220">
        <v>117075.35</v>
      </c>
      <c r="P33" s="304">
        <v>114642.48</v>
      </c>
      <c r="Q33" s="172">
        <v>84298.07</v>
      </c>
      <c r="R33" s="8">
        <f t="shared" si="8"/>
        <v>1023286.1700000002</v>
      </c>
      <c r="S33" s="1">
        <f t="shared" si="1"/>
        <v>12</v>
      </c>
      <c r="T33" s="31">
        <f t="shared" si="2"/>
        <v>85273.847500000018</v>
      </c>
      <c r="V33" s="321">
        <f t="shared" si="4"/>
        <v>0</v>
      </c>
      <c r="W33" s="321">
        <f t="shared" si="4"/>
        <v>0</v>
      </c>
      <c r="X33" s="321">
        <f t="shared" si="4"/>
        <v>456773.73</v>
      </c>
      <c r="Y33" s="321">
        <f t="shared" si="4"/>
        <v>0</v>
      </c>
      <c r="Z33" s="321">
        <f t="shared" si="4"/>
        <v>0</v>
      </c>
      <c r="AA33" s="321">
        <f t="shared" si="4"/>
        <v>0</v>
      </c>
      <c r="AB33" s="321">
        <f t="shared" si="4"/>
        <v>0</v>
      </c>
      <c r="AC33" s="321">
        <f t="shared" si="4"/>
        <v>0</v>
      </c>
      <c r="AD33" s="321">
        <f t="shared" si="4"/>
        <v>0</v>
      </c>
      <c r="AE33" s="321">
        <f t="shared" si="4"/>
        <v>0</v>
      </c>
      <c r="AF33" s="321">
        <f t="shared" si="4"/>
        <v>0</v>
      </c>
      <c r="AG33" s="70">
        <f t="shared" si="5"/>
        <v>456773.73</v>
      </c>
      <c r="AH33" s="321">
        <f t="shared" si="6"/>
        <v>456773.73</v>
      </c>
      <c r="AI33" s="331">
        <f t="shared" si="7"/>
        <v>0</v>
      </c>
    </row>
    <row r="34" spans="1:35" ht="10.5">
      <c r="A34" s="1" t="s">
        <v>658</v>
      </c>
      <c r="B34" s="4">
        <v>15054166</v>
      </c>
      <c r="C34" s="4"/>
      <c r="D34" s="1" t="s">
        <v>671</v>
      </c>
      <c r="E34" s="1" t="s">
        <v>670</v>
      </c>
      <c r="F34" s="181">
        <v>30986.04</v>
      </c>
      <c r="G34" s="184">
        <v>28318.29</v>
      </c>
      <c r="H34" s="229">
        <v>36485.67</v>
      </c>
      <c r="I34" s="192">
        <v>54737.7</v>
      </c>
      <c r="J34" s="195">
        <v>38927.47</v>
      </c>
      <c r="K34" s="238">
        <v>26938.76</v>
      </c>
      <c r="L34" s="306">
        <v>28306.09</v>
      </c>
      <c r="M34" s="212">
        <v>29216.240000000002</v>
      </c>
      <c r="N34" s="217">
        <v>35581.14</v>
      </c>
      <c r="O34" s="220">
        <v>55292.05</v>
      </c>
      <c r="P34" s="304">
        <v>50044.87</v>
      </c>
      <c r="Q34" s="172">
        <v>31024.28</v>
      </c>
      <c r="R34" s="8">
        <f>+SUM(F34:Q34)</f>
        <v>445858.6</v>
      </c>
      <c r="S34" s="1">
        <f t="shared" si="1"/>
        <v>12</v>
      </c>
      <c r="T34" s="31">
        <f t="shared" si="2"/>
        <v>37154.883333333331</v>
      </c>
      <c r="V34" s="321">
        <f t="shared" si="4"/>
        <v>0</v>
      </c>
      <c r="W34" s="321">
        <f t="shared" si="4"/>
        <v>0</v>
      </c>
      <c r="X34" s="321">
        <f t="shared" si="4"/>
        <v>0</v>
      </c>
      <c r="Y34" s="321">
        <f t="shared" si="4"/>
        <v>0</v>
      </c>
      <c r="Z34" s="321">
        <f t="shared" si="4"/>
        <v>0</v>
      </c>
      <c r="AA34" s="321">
        <f t="shared" si="4"/>
        <v>0</v>
      </c>
      <c r="AB34" s="321">
        <f t="shared" si="4"/>
        <v>0</v>
      </c>
      <c r="AC34" s="321">
        <f t="shared" si="4"/>
        <v>0</v>
      </c>
      <c r="AD34" s="321">
        <f t="shared" si="4"/>
        <v>216393.93000000002</v>
      </c>
      <c r="AE34" s="321">
        <f t="shared" si="4"/>
        <v>0</v>
      </c>
      <c r="AF34" s="321">
        <f t="shared" si="4"/>
        <v>0</v>
      </c>
      <c r="AG34" s="70">
        <f t="shared" si="5"/>
        <v>216393.93000000002</v>
      </c>
      <c r="AH34" s="321">
        <f t="shared" si="6"/>
        <v>216393.93000000002</v>
      </c>
      <c r="AI34" s="331">
        <f t="shared" si="7"/>
        <v>0</v>
      </c>
    </row>
    <row r="35" spans="1:35" ht="10.5">
      <c r="A35" s="1" t="s">
        <v>658</v>
      </c>
      <c r="B35" s="4">
        <v>7001700</v>
      </c>
      <c r="C35" s="4">
        <v>130</v>
      </c>
      <c r="D35" s="1" t="s">
        <v>248</v>
      </c>
      <c r="E35" s="1" t="s">
        <v>621</v>
      </c>
      <c r="F35" s="297"/>
      <c r="G35" s="297"/>
      <c r="H35" s="297"/>
      <c r="I35" s="297"/>
      <c r="J35" s="297"/>
      <c r="K35" s="297"/>
      <c r="L35" s="297"/>
      <c r="M35" s="297"/>
      <c r="N35" s="297"/>
      <c r="O35" s="297"/>
      <c r="P35" s="297"/>
      <c r="Q35" s="297"/>
      <c r="R35" s="8">
        <f>+SUM(F35:Q35)</f>
        <v>0</v>
      </c>
      <c r="S35" s="1">
        <f t="shared" si="1"/>
        <v>0</v>
      </c>
      <c r="T35" s="31">
        <f t="shared" si="2"/>
        <v>0</v>
      </c>
      <c r="V35" s="321">
        <f t="shared" ref="V35:AF58" si="9">+IF($A35=V$1,SUM($F35:$K35),0)</f>
        <v>0</v>
      </c>
      <c r="W35" s="321">
        <f t="shared" si="9"/>
        <v>0</v>
      </c>
      <c r="X35" s="321">
        <f t="shared" si="9"/>
        <v>0</v>
      </c>
      <c r="Y35" s="321">
        <f t="shared" si="9"/>
        <v>0</v>
      </c>
      <c r="Z35" s="321">
        <f t="shared" si="9"/>
        <v>0</v>
      </c>
      <c r="AA35" s="321">
        <f t="shared" si="9"/>
        <v>0</v>
      </c>
      <c r="AB35" s="321">
        <f t="shared" si="9"/>
        <v>0</v>
      </c>
      <c r="AC35" s="321">
        <f t="shared" si="9"/>
        <v>0</v>
      </c>
      <c r="AD35" s="321">
        <f t="shared" si="9"/>
        <v>0</v>
      </c>
      <c r="AE35" s="321">
        <f t="shared" si="9"/>
        <v>0</v>
      </c>
      <c r="AF35" s="321">
        <f t="shared" si="9"/>
        <v>0</v>
      </c>
      <c r="AG35" s="70">
        <f t="shared" si="5"/>
        <v>0</v>
      </c>
      <c r="AH35" s="321">
        <f t="shared" si="6"/>
        <v>0</v>
      </c>
      <c r="AI35" s="331">
        <f t="shared" si="7"/>
        <v>0</v>
      </c>
    </row>
    <row r="36" spans="1:35" ht="10.5">
      <c r="A36" s="1" t="s">
        <v>705</v>
      </c>
      <c r="B36" s="4">
        <v>15006999</v>
      </c>
      <c r="C36" s="4"/>
      <c r="D36" s="1" t="s">
        <v>527</v>
      </c>
      <c r="E36" s="1" t="s">
        <v>622</v>
      </c>
      <c r="F36" s="181">
        <v>14188.48</v>
      </c>
      <c r="G36" s="184">
        <v>12699.86</v>
      </c>
      <c r="H36" s="229">
        <v>19436.8</v>
      </c>
      <c r="I36" s="192">
        <v>22810.48</v>
      </c>
      <c r="J36" s="195">
        <v>16779.86</v>
      </c>
      <c r="K36" s="238">
        <v>11104.73</v>
      </c>
      <c r="L36" s="306">
        <v>14303.21</v>
      </c>
      <c r="M36" s="212">
        <v>13946.38</v>
      </c>
      <c r="N36" s="217">
        <v>20240.8</v>
      </c>
      <c r="O36" s="220">
        <v>23886.63</v>
      </c>
      <c r="P36" s="318">
        <v>22593.439999999999</v>
      </c>
      <c r="Q36" s="172">
        <v>19504.95</v>
      </c>
      <c r="R36" s="8">
        <f t="shared" si="8"/>
        <v>211495.62</v>
      </c>
      <c r="S36" s="1">
        <f t="shared" si="1"/>
        <v>12</v>
      </c>
      <c r="T36" s="31">
        <f t="shared" si="2"/>
        <v>17624.634999999998</v>
      </c>
      <c r="V36" s="321">
        <f t="shared" si="9"/>
        <v>0</v>
      </c>
      <c r="W36" s="321">
        <f t="shared" si="9"/>
        <v>0</v>
      </c>
      <c r="X36" s="321">
        <f t="shared" si="9"/>
        <v>0</v>
      </c>
      <c r="Y36" s="321">
        <f t="shared" si="9"/>
        <v>0</v>
      </c>
      <c r="Z36" s="321">
        <f t="shared" si="9"/>
        <v>0</v>
      </c>
      <c r="AA36" s="321">
        <f t="shared" si="9"/>
        <v>0</v>
      </c>
      <c r="AB36" s="321">
        <f t="shared" si="9"/>
        <v>0</v>
      </c>
      <c r="AC36" s="321">
        <f t="shared" si="9"/>
        <v>0</v>
      </c>
      <c r="AD36" s="321">
        <f t="shared" si="9"/>
        <v>0</v>
      </c>
      <c r="AE36" s="321">
        <f t="shared" si="9"/>
        <v>0</v>
      </c>
      <c r="AF36" s="321">
        <f t="shared" si="9"/>
        <v>97020.209999999992</v>
      </c>
      <c r="AG36" s="70">
        <f t="shared" si="5"/>
        <v>97020.209999999992</v>
      </c>
      <c r="AH36" s="321">
        <f t="shared" si="6"/>
        <v>97020.209999999992</v>
      </c>
      <c r="AI36" s="331">
        <f t="shared" si="7"/>
        <v>0</v>
      </c>
    </row>
    <row r="37" spans="1:35" ht="10.5">
      <c r="A37" s="1" t="s">
        <v>664</v>
      </c>
      <c r="B37" s="4">
        <v>7009500</v>
      </c>
      <c r="C37" s="4"/>
      <c r="D37" s="1" t="s">
        <v>515</v>
      </c>
      <c r="E37" s="1" t="s">
        <v>515</v>
      </c>
      <c r="F37" s="181">
        <v>17013.330000000002</v>
      </c>
      <c r="G37" s="184">
        <v>15355.28</v>
      </c>
      <c r="H37" s="229">
        <v>19848.71</v>
      </c>
      <c r="I37" s="192">
        <v>27926.82</v>
      </c>
      <c r="J37" s="195">
        <v>21928.04</v>
      </c>
      <c r="K37" s="238">
        <v>13429.87</v>
      </c>
      <c r="L37" s="306">
        <v>18327.3</v>
      </c>
      <c r="M37" s="212">
        <v>16750.52</v>
      </c>
      <c r="N37" s="217">
        <v>23367.52</v>
      </c>
      <c r="O37" s="220">
        <v>26868.05</v>
      </c>
      <c r="P37" s="304">
        <v>27724.75</v>
      </c>
      <c r="Q37" s="172">
        <v>24463.22</v>
      </c>
      <c r="R37" s="8">
        <f t="shared" si="8"/>
        <v>253003.40999999995</v>
      </c>
      <c r="S37" s="1">
        <f t="shared" si="1"/>
        <v>12</v>
      </c>
      <c r="T37" s="31">
        <f t="shared" si="2"/>
        <v>21083.617499999997</v>
      </c>
      <c r="V37" s="321">
        <f t="shared" si="9"/>
        <v>0</v>
      </c>
      <c r="W37" s="321">
        <f t="shared" si="9"/>
        <v>0</v>
      </c>
      <c r="X37" s="321">
        <f t="shared" si="9"/>
        <v>0</v>
      </c>
      <c r="Y37" s="321">
        <f t="shared" si="9"/>
        <v>0</v>
      </c>
      <c r="Z37" s="321">
        <f t="shared" si="9"/>
        <v>0</v>
      </c>
      <c r="AA37" s="321">
        <f t="shared" si="9"/>
        <v>0</v>
      </c>
      <c r="AB37" s="321">
        <f t="shared" si="9"/>
        <v>0</v>
      </c>
      <c r="AC37" s="321">
        <f t="shared" si="9"/>
        <v>0</v>
      </c>
      <c r="AD37" s="321">
        <f t="shared" si="9"/>
        <v>0</v>
      </c>
      <c r="AE37" s="321">
        <f t="shared" si="9"/>
        <v>115502.04999999999</v>
      </c>
      <c r="AF37" s="321">
        <f t="shared" si="9"/>
        <v>0</v>
      </c>
      <c r="AG37" s="70">
        <f t="shared" si="5"/>
        <v>115502.04999999999</v>
      </c>
      <c r="AH37" s="321">
        <f t="shared" si="6"/>
        <v>115502.04999999999</v>
      </c>
      <c r="AI37" s="331">
        <f t="shared" si="7"/>
        <v>0</v>
      </c>
    </row>
    <row r="38" spans="1:35" ht="10.5">
      <c r="A38" s="1" t="s">
        <v>659</v>
      </c>
      <c r="B38" s="42">
        <v>15037963</v>
      </c>
      <c r="C38" s="42"/>
      <c r="D38" s="11" t="s">
        <v>606</v>
      </c>
      <c r="E38" s="11" t="s">
        <v>605</v>
      </c>
      <c r="F38" s="181">
        <v>15294.64</v>
      </c>
      <c r="G38" s="184">
        <v>12731.37</v>
      </c>
      <c r="H38" s="229">
        <v>16505.57</v>
      </c>
      <c r="I38" s="192">
        <v>24428.560000000001</v>
      </c>
      <c r="J38" s="195">
        <v>15683.47</v>
      </c>
      <c r="K38" s="238">
        <v>10950.44</v>
      </c>
      <c r="L38" s="306">
        <v>12335.3</v>
      </c>
      <c r="M38" s="212">
        <v>12710.82</v>
      </c>
      <c r="N38" s="217">
        <v>19291.830000000002</v>
      </c>
      <c r="O38" s="220">
        <v>22595.02</v>
      </c>
      <c r="P38" s="304">
        <v>21282.03</v>
      </c>
      <c r="Q38" s="172">
        <v>19973.39</v>
      </c>
      <c r="R38" s="8">
        <f t="shared" si="8"/>
        <v>203782.44</v>
      </c>
      <c r="S38" s="1">
        <f t="shared" si="1"/>
        <v>12</v>
      </c>
      <c r="T38" s="31">
        <f t="shared" si="2"/>
        <v>16981.87</v>
      </c>
      <c r="V38" s="321">
        <f t="shared" si="9"/>
        <v>0</v>
      </c>
      <c r="W38" s="321">
        <f t="shared" si="9"/>
        <v>0</v>
      </c>
      <c r="X38" s="321">
        <f t="shared" si="9"/>
        <v>0</v>
      </c>
      <c r="Y38" s="321">
        <f t="shared" si="9"/>
        <v>0</v>
      </c>
      <c r="Z38" s="321">
        <f t="shared" si="9"/>
        <v>0</v>
      </c>
      <c r="AA38" s="321">
        <f t="shared" si="9"/>
        <v>0</v>
      </c>
      <c r="AB38" s="321">
        <f t="shared" si="9"/>
        <v>0</v>
      </c>
      <c r="AC38" s="321">
        <f t="shared" si="9"/>
        <v>95594.05</v>
      </c>
      <c r="AD38" s="321">
        <f t="shared" si="9"/>
        <v>0</v>
      </c>
      <c r="AE38" s="321">
        <f t="shared" si="9"/>
        <v>0</v>
      </c>
      <c r="AF38" s="321">
        <f t="shared" si="9"/>
        <v>0</v>
      </c>
      <c r="AG38" s="70">
        <f t="shared" si="5"/>
        <v>95594.05</v>
      </c>
      <c r="AH38" s="321">
        <f t="shared" si="6"/>
        <v>95594.05</v>
      </c>
      <c r="AI38" s="331">
        <f t="shared" si="7"/>
        <v>0</v>
      </c>
    </row>
    <row r="39" spans="1:35" ht="10.5">
      <c r="A39" s="1" t="s">
        <v>658</v>
      </c>
      <c r="B39" s="42">
        <v>15037924</v>
      </c>
      <c r="C39" s="42"/>
      <c r="D39" s="11" t="s">
        <v>644</v>
      </c>
      <c r="E39" s="11" t="s">
        <v>601</v>
      </c>
      <c r="F39" s="181">
        <v>20370.599999999999</v>
      </c>
      <c r="G39" s="184">
        <v>15699.25</v>
      </c>
      <c r="H39" s="192">
        <v>22126.73</v>
      </c>
      <c r="I39" s="192">
        <v>30943.84</v>
      </c>
      <c r="J39" s="195">
        <v>22320.85</v>
      </c>
      <c r="K39" s="238">
        <v>17483.8</v>
      </c>
      <c r="L39" s="306">
        <v>19626.12</v>
      </c>
      <c r="M39" s="212">
        <v>16810.5</v>
      </c>
      <c r="N39" s="217">
        <f>17743.08+6988.31</f>
        <v>24731.390000000003</v>
      </c>
      <c r="O39" s="220">
        <v>31300.240000000002</v>
      </c>
      <c r="P39" s="297"/>
      <c r="Q39" s="297"/>
      <c r="R39" s="8">
        <f t="shared" si="8"/>
        <v>221413.32</v>
      </c>
      <c r="S39" s="1">
        <f t="shared" si="1"/>
        <v>10</v>
      </c>
      <c r="T39" s="31">
        <f t="shared" si="2"/>
        <v>22141.332000000002</v>
      </c>
      <c r="V39" s="321">
        <f t="shared" si="9"/>
        <v>0</v>
      </c>
      <c r="W39" s="321">
        <f t="shared" si="9"/>
        <v>0</v>
      </c>
      <c r="X39" s="321">
        <f t="shared" si="9"/>
        <v>0</v>
      </c>
      <c r="Y39" s="321">
        <f t="shared" si="9"/>
        <v>0</v>
      </c>
      <c r="Z39" s="321">
        <f t="shared" si="9"/>
        <v>0</v>
      </c>
      <c r="AA39" s="321">
        <f t="shared" si="9"/>
        <v>0</v>
      </c>
      <c r="AB39" s="321">
        <f t="shared" si="9"/>
        <v>0</v>
      </c>
      <c r="AC39" s="321">
        <f t="shared" si="9"/>
        <v>0</v>
      </c>
      <c r="AD39" s="321">
        <f t="shared" si="9"/>
        <v>128945.06999999999</v>
      </c>
      <c r="AE39" s="321">
        <f t="shared" si="9"/>
        <v>0</v>
      </c>
      <c r="AF39" s="321">
        <f t="shared" si="9"/>
        <v>0</v>
      </c>
      <c r="AG39" s="70">
        <f t="shared" si="5"/>
        <v>128945.06999999999</v>
      </c>
      <c r="AH39" s="321">
        <f t="shared" si="6"/>
        <v>128945.06999999999</v>
      </c>
      <c r="AI39" s="331">
        <f t="shared" si="7"/>
        <v>0</v>
      </c>
    </row>
    <row r="40" spans="1:35" ht="10.5">
      <c r="A40" s="1" t="s">
        <v>658</v>
      </c>
      <c r="B40" s="4">
        <v>7009200</v>
      </c>
      <c r="C40" s="4">
        <v>569</v>
      </c>
      <c r="D40" s="1" t="s">
        <v>516</v>
      </c>
      <c r="E40" s="1" t="s">
        <v>516</v>
      </c>
      <c r="F40" s="181">
        <v>14021.22</v>
      </c>
      <c r="G40" s="184">
        <v>12024.16</v>
      </c>
      <c r="H40" s="229">
        <v>18272.7</v>
      </c>
      <c r="I40" s="291">
        <v>24157.3</v>
      </c>
      <c r="J40" s="195">
        <v>18881.240000000002</v>
      </c>
      <c r="K40" s="238">
        <v>14426.52</v>
      </c>
      <c r="L40" s="306">
        <v>14454.5</v>
      </c>
      <c r="M40" s="212">
        <v>14515.46</v>
      </c>
      <c r="N40" s="217">
        <v>21348.55</v>
      </c>
      <c r="O40" s="220">
        <v>23511.27</v>
      </c>
      <c r="P40" s="304">
        <v>24323.919999999998</v>
      </c>
      <c r="Q40" s="172">
        <v>21634.02</v>
      </c>
      <c r="R40" s="8">
        <f t="shared" si="8"/>
        <v>221570.85999999996</v>
      </c>
      <c r="S40" s="1">
        <f t="shared" si="1"/>
        <v>12</v>
      </c>
      <c r="T40" s="31">
        <f t="shared" si="2"/>
        <v>18464.238333333331</v>
      </c>
      <c r="V40" s="321">
        <f t="shared" si="9"/>
        <v>0</v>
      </c>
      <c r="W40" s="321">
        <f t="shared" si="9"/>
        <v>0</v>
      </c>
      <c r="X40" s="321">
        <f t="shared" si="9"/>
        <v>0</v>
      </c>
      <c r="Y40" s="321">
        <f t="shared" si="9"/>
        <v>0</v>
      </c>
      <c r="Z40" s="321">
        <f t="shared" si="9"/>
        <v>0</v>
      </c>
      <c r="AA40" s="321">
        <f t="shared" si="9"/>
        <v>0</v>
      </c>
      <c r="AB40" s="321">
        <f t="shared" si="9"/>
        <v>0</v>
      </c>
      <c r="AC40" s="321">
        <f t="shared" si="9"/>
        <v>0</v>
      </c>
      <c r="AD40" s="321">
        <f t="shared" si="9"/>
        <v>101783.14000000001</v>
      </c>
      <c r="AE40" s="321">
        <f t="shared" si="9"/>
        <v>0</v>
      </c>
      <c r="AF40" s="321">
        <f t="shared" si="9"/>
        <v>0</v>
      </c>
      <c r="AG40" s="70">
        <f t="shared" si="5"/>
        <v>101783.14000000001</v>
      </c>
      <c r="AH40" s="321">
        <f t="shared" si="6"/>
        <v>101783.14000000001</v>
      </c>
      <c r="AI40" s="331">
        <f t="shared" si="7"/>
        <v>0</v>
      </c>
    </row>
    <row r="41" spans="1:35" ht="10.5">
      <c r="A41" s="1" t="s">
        <v>530</v>
      </c>
      <c r="B41" s="4">
        <v>15037322</v>
      </c>
      <c r="C41" s="4"/>
      <c r="D41" s="1" t="s">
        <v>646</v>
      </c>
      <c r="E41" s="1" t="s">
        <v>623</v>
      </c>
      <c r="F41" s="181">
        <v>17323.64</v>
      </c>
      <c r="G41" s="184">
        <v>14864.39</v>
      </c>
      <c r="H41" s="229">
        <v>20228.900000000001</v>
      </c>
      <c r="I41" s="192">
        <v>26654.37</v>
      </c>
      <c r="J41" s="195">
        <v>18728.48</v>
      </c>
      <c r="K41" s="238">
        <v>12422.12</v>
      </c>
      <c r="L41" s="306">
        <v>13101.51</v>
      </c>
      <c r="M41" s="217">
        <v>15610.91</v>
      </c>
      <c r="N41" s="217">
        <v>22070.61</v>
      </c>
      <c r="O41" s="220">
        <v>25497.74</v>
      </c>
      <c r="P41" s="304">
        <v>25894.87</v>
      </c>
      <c r="Q41" s="172">
        <v>22974.82</v>
      </c>
      <c r="R41" s="8">
        <f t="shared" si="8"/>
        <v>235372.36</v>
      </c>
      <c r="S41" s="1">
        <f t="shared" si="1"/>
        <v>12</v>
      </c>
      <c r="T41" s="31">
        <f t="shared" si="2"/>
        <v>19614.363333333331</v>
      </c>
      <c r="V41" s="321">
        <f t="shared" si="9"/>
        <v>0</v>
      </c>
      <c r="W41" s="321">
        <f t="shared" si="9"/>
        <v>0</v>
      </c>
      <c r="X41" s="321">
        <f t="shared" si="9"/>
        <v>0</v>
      </c>
      <c r="Y41" s="321">
        <f t="shared" si="9"/>
        <v>110221.9</v>
      </c>
      <c r="Z41" s="321">
        <f t="shared" si="9"/>
        <v>0</v>
      </c>
      <c r="AA41" s="321">
        <f t="shared" si="9"/>
        <v>0</v>
      </c>
      <c r="AB41" s="321">
        <f t="shared" si="9"/>
        <v>0</v>
      </c>
      <c r="AC41" s="321">
        <f t="shared" si="9"/>
        <v>0</v>
      </c>
      <c r="AD41" s="321">
        <f t="shared" si="9"/>
        <v>0</v>
      </c>
      <c r="AE41" s="321">
        <f t="shared" si="9"/>
        <v>0</v>
      </c>
      <c r="AF41" s="321">
        <f t="shared" si="9"/>
        <v>0</v>
      </c>
      <c r="AG41" s="70">
        <f t="shared" si="5"/>
        <v>110221.9</v>
      </c>
      <c r="AH41" s="321">
        <f t="shared" si="6"/>
        <v>110221.9</v>
      </c>
      <c r="AI41" s="331">
        <f t="shared" si="7"/>
        <v>0</v>
      </c>
    </row>
    <row r="42" spans="1:35" ht="10.5">
      <c r="A42" s="1" t="s">
        <v>659</v>
      </c>
      <c r="B42" s="4">
        <v>15030829</v>
      </c>
      <c r="C42" s="4"/>
      <c r="D42" s="1" t="s">
        <v>529</v>
      </c>
      <c r="E42" s="1" t="s">
        <v>529</v>
      </c>
      <c r="F42" s="181">
        <v>8910.5</v>
      </c>
      <c r="G42" s="184">
        <v>7180.09</v>
      </c>
      <c r="H42" s="229">
        <v>9558.32</v>
      </c>
      <c r="I42" s="192">
        <v>11490.473</v>
      </c>
      <c r="J42" s="195">
        <v>7388.86</v>
      </c>
      <c r="K42" s="238">
        <v>6188.64</v>
      </c>
      <c r="L42" s="184">
        <f>19.39+5740.43</f>
        <v>5759.8200000000006</v>
      </c>
      <c r="M42" s="184">
        <v>6648.17</v>
      </c>
      <c r="N42" s="184">
        <v>9753.4500000000007</v>
      </c>
      <c r="O42" s="184">
        <v>11841.66</v>
      </c>
      <c r="P42" s="184">
        <v>11483.97</v>
      </c>
      <c r="Q42" s="184">
        <v>11093.67</v>
      </c>
      <c r="R42" s="8">
        <f t="shared" si="8"/>
        <v>107297.62300000001</v>
      </c>
      <c r="S42" s="1">
        <f t="shared" si="1"/>
        <v>12</v>
      </c>
      <c r="T42" s="31">
        <f t="shared" si="2"/>
        <v>8941.4685833333333</v>
      </c>
      <c r="V42" s="321">
        <f t="shared" si="9"/>
        <v>0</v>
      </c>
      <c r="W42" s="321">
        <f t="shared" si="9"/>
        <v>0</v>
      </c>
      <c r="X42" s="321">
        <f t="shared" si="9"/>
        <v>0</v>
      </c>
      <c r="Y42" s="321">
        <f t="shared" si="9"/>
        <v>0</v>
      </c>
      <c r="Z42" s="321">
        <f t="shared" si="9"/>
        <v>0</v>
      </c>
      <c r="AA42" s="321">
        <f t="shared" si="9"/>
        <v>0</v>
      </c>
      <c r="AB42" s="321">
        <f t="shared" si="9"/>
        <v>0</v>
      </c>
      <c r="AC42" s="321">
        <f t="shared" si="9"/>
        <v>50716.883000000002</v>
      </c>
      <c r="AD42" s="321">
        <f t="shared" si="9"/>
        <v>0</v>
      </c>
      <c r="AE42" s="321">
        <f t="shared" si="9"/>
        <v>0</v>
      </c>
      <c r="AF42" s="321">
        <f t="shared" si="9"/>
        <v>0</v>
      </c>
      <c r="AG42" s="70">
        <f t="shared" si="5"/>
        <v>50716.883000000002</v>
      </c>
      <c r="AH42" s="321">
        <f t="shared" si="6"/>
        <v>50716.883000000002</v>
      </c>
      <c r="AI42" s="331">
        <f t="shared" si="7"/>
        <v>0</v>
      </c>
    </row>
    <row r="43" spans="1:35" ht="10.5">
      <c r="A43" s="1" t="s">
        <v>531</v>
      </c>
      <c r="B43" s="4">
        <v>15035829</v>
      </c>
      <c r="C43" s="4"/>
      <c r="D43" s="1" t="s">
        <v>567</v>
      </c>
      <c r="E43" s="1" t="s">
        <v>253</v>
      </c>
      <c r="F43" s="181">
        <v>65255.12</v>
      </c>
      <c r="G43" s="184">
        <v>36361.75</v>
      </c>
      <c r="H43" s="229">
        <v>75372.539999999994</v>
      </c>
      <c r="I43" s="192">
        <v>116117.08</v>
      </c>
      <c r="J43" s="195">
        <v>74893.5</v>
      </c>
      <c r="K43" s="238">
        <v>42388.41</v>
      </c>
      <c r="L43" s="306">
        <v>84042.18</v>
      </c>
      <c r="M43" s="212">
        <v>65666.19</v>
      </c>
      <c r="N43" s="217">
        <v>92048.1</v>
      </c>
      <c r="O43" s="220">
        <v>103067.23</v>
      </c>
      <c r="P43" s="304">
        <v>112653.89</v>
      </c>
      <c r="Q43" s="172">
        <v>80562.720000000001</v>
      </c>
      <c r="R43" s="8">
        <f t="shared" si="8"/>
        <v>948428.71</v>
      </c>
      <c r="S43" s="1">
        <f t="shared" si="1"/>
        <v>12</v>
      </c>
      <c r="T43" s="31">
        <f t="shared" si="2"/>
        <v>79035.72583333333</v>
      </c>
      <c r="V43" s="321">
        <f t="shared" si="9"/>
        <v>0</v>
      </c>
      <c r="W43" s="321">
        <f t="shared" si="9"/>
        <v>0</v>
      </c>
      <c r="X43" s="321">
        <f t="shared" si="9"/>
        <v>410388.4</v>
      </c>
      <c r="Y43" s="321">
        <f t="shared" si="9"/>
        <v>0</v>
      </c>
      <c r="Z43" s="321">
        <f t="shared" si="9"/>
        <v>0</v>
      </c>
      <c r="AA43" s="321">
        <f t="shared" si="9"/>
        <v>0</v>
      </c>
      <c r="AB43" s="321">
        <f t="shared" si="9"/>
        <v>0</v>
      </c>
      <c r="AC43" s="321">
        <f t="shared" si="9"/>
        <v>0</v>
      </c>
      <c r="AD43" s="321">
        <f t="shared" si="9"/>
        <v>0</v>
      </c>
      <c r="AE43" s="321">
        <f t="shared" si="9"/>
        <v>0</v>
      </c>
      <c r="AF43" s="321">
        <f t="shared" si="9"/>
        <v>0</v>
      </c>
      <c r="AG43" s="70">
        <f t="shared" si="5"/>
        <v>410388.4</v>
      </c>
      <c r="AH43" s="321">
        <f t="shared" si="6"/>
        <v>410388.4</v>
      </c>
      <c r="AI43" s="331">
        <f t="shared" si="7"/>
        <v>0</v>
      </c>
    </row>
    <row r="44" spans="1:35" ht="10.5">
      <c r="A44" s="1" t="s">
        <v>664</v>
      </c>
      <c r="B44" s="4">
        <v>15020999</v>
      </c>
      <c r="C44" s="4">
        <v>132</v>
      </c>
      <c r="D44" s="1" t="s">
        <v>528</v>
      </c>
      <c r="E44" s="1" t="s">
        <v>498</v>
      </c>
      <c r="F44" s="181">
        <v>1776.87</v>
      </c>
      <c r="G44" s="184">
        <v>1404.49</v>
      </c>
      <c r="H44" s="229">
        <v>2482.21</v>
      </c>
      <c r="I44" s="192">
        <v>2651.69</v>
      </c>
      <c r="J44" s="195">
        <v>2908.57</v>
      </c>
      <c r="K44" s="238">
        <v>1632.21</v>
      </c>
      <c r="L44" s="306">
        <v>1956.9</v>
      </c>
      <c r="M44" s="212">
        <v>1802.61</v>
      </c>
      <c r="N44" s="217">
        <v>2313.23</v>
      </c>
      <c r="O44" s="220">
        <v>2771.72</v>
      </c>
      <c r="P44" s="304">
        <v>2533.38</v>
      </c>
      <c r="Q44" s="172">
        <v>2236.6999999999998</v>
      </c>
      <c r="R44" s="8">
        <f>+SUM(F44:Q44)</f>
        <v>26470.58</v>
      </c>
      <c r="S44" s="1">
        <f>COUNT(F44:Q44)</f>
        <v>12</v>
      </c>
      <c r="T44" s="31">
        <f>+IF(R44=0,0,R44/S44)</f>
        <v>2205.8816666666667</v>
      </c>
      <c r="V44" s="321">
        <f t="shared" si="9"/>
        <v>0</v>
      </c>
      <c r="W44" s="321">
        <f t="shared" si="9"/>
        <v>0</v>
      </c>
      <c r="X44" s="321">
        <f t="shared" si="9"/>
        <v>0</v>
      </c>
      <c r="Y44" s="321">
        <f t="shared" si="9"/>
        <v>0</v>
      </c>
      <c r="Z44" s="321">
        <f t="shared" si="9"/>
        <v>0</v>
      </c>
      <c r="AA44" s="321">
        <f t="shared" si="9"/>
        <v>0</v>
      </c>
      <c r="AB44" s="321">
        <f t="shared" si="9"/>
        <v>0</v>
      </c>
      <c r="AC44" s="321">
        <f t="shared" si="9"/>
        <v>0</v>
      </c>
      <c r="AD44" s="321">
        <f t="shared" si="9"/>
        <v>0</v>
      </c>
      <c r="AE44" s="321">
        <f t="shared" si="9"/>
        <v>12856.04</v>
      </c>
      <c r="AF44" s="321">
        <f t="shared" si="9"/>
        <v>0</v>
      </c>
      <c r="AG44" s="70">
        <f t="shared" si="5"/>
        <v>12856.04</v>
      </c>
      <c r="AH44" s="321">
        <f t="shared" si="6"/>
        <v>12856.04</v>
      </c>
      <c r="AI44" s="331">
        <f t="shared" si="7"/>
        <v>0</v>
      </c>
    </row>
    <row r="45" spans="1:35" ht="10.5">
      <c r="A45" s="1" t="s">
        <v>535</v>
      </c>
      <c r="B45" s="4">
        <v>7002501</v>
      </c>
      <c r="C45" s="4"/>
      <c r="D45" s="1" t="s">
        <v>594</v>
      </c>
      <c r="E45" s="1" t="s">
        <v>508</v>
      </c>
      <c r="F45" s="181">
        <v>3969</v>
      </c>
      <c r="G45" s="184">
        <v>3365</v>
      </c>
      <c r="H45" s="229">
        <v>4237.42</v>
      </c>
      <c r="I45" s="192">
        <v>5736</v>
      </c>
      <c r="J45" s="195">
        <v>3386.08</v>
      </c>
      <c r="K45" s="238">
        <v>2851</v>
      </c>
      <c r="L45" s="306">
        <v>2414</v>
      </c>
      <c r="M45" s="212">
        <v>2108</v>
      </c>
      <c r="N45" s="217">
        <v>3598</v>
      </c>
      <c r="O45" s="220">
        <v>4125</v>
      </c>
      <c r="P45" s="304">
        <v>5010</v>
      </c>
      <c r="Q45" s="172">
        <v>3407</v>
      </c>
      <c r="R45" s="8">
        <f t="shared" si="8"/>
        <v>44206.5</v>
      </c>
      <c r="S45" s="1">
        <f t="shared" si="1"/>
        <v>12</v>
      </c>
      <c r="T45" s="31">
        <f t="shared" si="2"/>
        <v>3683.875</v>
      </c>
      <c r="V45" s="321">
        <f t="shared" si="9"/>
        <v>0</v>
      </c>
      <c r="W45" s="321">
        <f t="shared" si="9"/>
        <v>0</v>
      </c>
      <c r="X45" s="321">
        <f t="shared" si="9"/>
        <v>0</v>
      </c>
      <c r="Y45" s="321">
        <f t="shared" si="9"/>
        <v>0</v>
      </c>
      <c r="Z45" s="321">
        <f t="shared" si="9"/>
        <v>0</v>
      </c>
      <c r="AA45" s="321">
        <f t="shared" si="9"/>
        <v>23544.5</v>
      </c>
      <c r="AB45" s="321">
        <f t="shared" si="9"/>
        <v>0</v>
      </c>
      <c r="AC45" s="321">
        <f t="shared" si="9"/>
        <v>0</v>
      </c>
      <c r="AD45" s="321">
        <f t="shared" si="9"/>
        <v>0</v>
      </c>
      <c r="AE45" s="321">
        <f t="shared" si="9"/>
        <v>0</v>
      </c>
      <c r="AF45" s="321">
        <f t="shared" si="9"/>
        <v>0</v>
      </c>
      <c r="AG45" s="70">
        <f t="shared" si="5"/>
        <v>23544.5</v>
      </c>
      <c r="AH45" s="321">
        <f t="shared" si="6"/>
        <v>23544.5</v>
      </c>
      <c r="AI45" s="331">
        <f t="shared" si="7"/>
        <v>0</v>
      </c>
    </row>
    <row r="46" spans="1:35" ht="10.5">
      <c r="A46" s="1" t="s">
        <v>533</v>
      </c>
      <c r="B46" s="4">
        <v>7008200</v>
      </c>
      <c r="C46" s="4"/>
      <c r="D46" s="1" t="s">
        <v>347</v>
      </c>
      <c r="E46" s="1" t="s">
        <v>347</v>
      </c>
      <c r="F46" s="181">
        <v>10214.58</v>
      </c>
      <c r="G46" s="184">
        <v>8174.29</v>
      </c>
      <c r="H46" s="229">
        <v>12419.41</v>
      </c>
      <c r="I46" s="192">
        <v>13692.71</v>
      </c>
      <c r="J46" s="195">
        <v>10289.469999999999</v>
      </c>
      <c r="K46" s="238">
        <v>9034.7199999999993</v>
      </c>
      <c r="L46" s="306">
        <v>8093.38</v>
      </c>
      <c r="M46" s="212">
        <v>7896.93</v>
      </c>
      <c r="N46" s="217">
        <v>12528.99</v>
      </c>
      <c r="O46" s="220">
        <v>13797.43</v>
      </c>
      <c r="P46" s="304">
        <v>13578.77</v>
      </c>
      <c r="Q46" s="172">
        <v>13100.84</v>
      </c>
      <c r="R46" s="8">
        <f t="shared" si="8"/>
        <v>132821.52000000002</v>
      </c>
      <c r="S46" s="1">
        <f t="shared" si="1"/>
        <v>12</v>
      </c>
      <c r="T46" s="31">
        <f t="shared" si="2"/>
        <v>11068.460000000001</v>
      </c>
      <c r="V46" s="321">
        <f t="shared" si="9"/>
        <v>0</v>
      </c>
      <c r="W46" s="321">
        <f t="shared" si="9"/>
        <v>0</v>
      </c>
      <c r="X46" s="321">
        <f t="shared" si="9"/>
        <v>0</v>
      </c>
      <c r="Y46" s="321">
        <f t="shared" si="9"/>
        <v>0</v>
      </c>
      <c r="Z46" s="321">
        <f t="shared" si="9"/>
        <v>0</v>
      </c>
      <c r="AA46" s="321">
        <f t="shared" si="9"/>
        <v>0</v>
      </c>
      <c r="AB46" s="321">
        <f t="shared" si="9"/>
        <v>63825.18</v>
      </c>
      <c r="AC46" s="321">
        <f t="shared" si="9"/>
        <v>0</v>
      </c>
      <c r="AD46" s="321">
        <f t="shared" si="9"/>
        <v>0</v>
      </c>
      <c r="AE46" s="321">
        <f t="shared" si="9"/>
        <v>0</v>
      </c>
      <c r="AF46" s="321">
        <f t="shared" si="9"/>
        <v>0</v>
      </c>
      <c r="AG46" s="70">
        <f t="shared" si="5"/>
        <v>63825.18</v>
      </c>
      <c r="AH46" s="321">
        <f t="shared" si="6"/>
        <v>63825.18</v>
      </c>
      <c r="AI46" s="331">
        <f t="shared" si="7"/>
        <v>0</v>
      </c>
    </row>
    <row r="47" spans="1:35" ht="10.5">
      <c r="A47" s="1" t="s">
        <v>535</v>
      </c>
      <c r="B47" s="4">
        <v>7002600</v>
      </c>
      <c r="C47" s="4"/>
      <c r="D47" s="1" t="s">
        <v>655</v>
      </c>
      <c r="E47" s="1" t="s">
        <v>509</v>
      </c>
      <c r="F47" s="181">
        <v>12424.12</v>
      </c>
      <c r="G47" s="184">
        <v>10865.35</v>
      </c>
      <c r="H47" s="229">
        <v>12589.11</v>
      </c>
      <c r="I47" s="192">
        <v>18925.57</v>
      </c>
      <c r="J47" s="195">
        <v>10310.719999999999</v>
      </c>
      <c r="K47" s="238">
        <v>4361.5</v>
      </c>
      <c r="L47" s="306">
        <v>4814.32</v>
      </c>
      <c r="M47" s="212">
        <v>5902.67</v>
      </c>
      <c r="N47" s="217">
        <v>10753.22</v>
      </c>
      <c r="O47" s="220">
        <v>15479.41</v>
      </c>
      <c r="P47" s="304">
        <v>17662.650000000001</v>
      </c>
      <c r="Q47" s="172">
        <v>15816.4</v>
      </c>
      <c r="R47" s="8">
        <f t="shared" si="8"/>
        <v>139905.04</v>
      </c>
      <c r="S47" s="1">
        <f t="shared" si="1"/>
        <v>12</v>
      </c>
      <c r="T47" s="31">
        <f t="shared" si="2"/>
        <v>11658.753333333334</v>
      </c>
      <c r="V47" s="321">
        <f t="shared" si="9"/>
        <v>0</v>
      </c>
      <c r="W47" s="321">
        <f t="shared" si="9"/>
        <v>0</v>
      </c>
      <c r="X47" s="321">
        <f t="shared" si="9"/>
        <v>0</v>
      </c>
      <c r="Y47" s="321">
        <f t="shared" si="9"/>
        <v>0</v>
      </c>
      <c r="Z47" s="321">
        <f t="shared" si="9"/>
        <v>0</v>
      </c>
      <c r="AA47" s="321">
        <f t="shared" si="9"/>
        <v>69476.37</v>
      </c>
      <c r="AB47" s="321">
        <f t="shared" si="9"/>
        <v>0</v>
      </c>
      <c r="AC47" s="321">
        <f t="shared" si="9"/>
        <v>0</v>
      </c>
      <c r="AD47" s="321">
        <f t="shared" si="9"/>
        <v>0</v>
      </c>
      <c r="AE47" s="321">
        <f t="shared" si="9"/>
        <v>0</v>
      </c>
      <c r="AF47" s="321">
        <f t="shared" si="9"/>
        <v>0</v>
      </c>
      <c r="AG47" s="70">
        <f t="shared" si="5"/>
        <v>69476.37</v>
      </c>
      <c r="AH47" s="321">
        <f t="shared" si="6"/>
        <v>69476.37</v>
      </c>
      <c r="AI47" s="331">
        <f t="shared" si="7"/>
        <v>0</v>
      </c>
    </row>
    <row r="48" spans="1:35" ht="10.5">
      <c r="A48" s="1" t="s">
        <v>537</v>
      </c>
      <c r="B48" s="4">
        <v>7007600</v>
      </c>
      <c r="C48" s="4"/>
      <c r="D48" s="1" t="s">
        <v>258</v>
      </c>
      <c r="E48" s="1" t="s">
        <v>258</v>
      </c>
      <c r="F48" s="181">
        <v>10644.86</v>
      </c>
      <c r="G48" s="184">
        <v>8837.68</v>
      </c>
      <c r="H48" s="192">
        <v>13216.28</v>
      </c>
      <c r="I48" s="192">
        <v>20836.71</v>
      </c>
      <c r="J48" s="195">
        <v>9148.31</v>
      </c>
      <c r="K48" s="238">
        <v>7594.37</v>
      </c>
      <c r="L48" s="306">
        <v>9332.6299999999992</v>
      </c>
      <c r="M48" s="212">
        <v>9610.69</v>
      </c>
      <c r="N48" s="217">
        <v>14714.57</v>
      </c>
      <c r="O48" s="220">
        <v>16460.240000000002</v>
      </c>
      <c r="P48" s="304">
        <v>16154.94</v>
      </c>
      <c r="Q48" s="172">
        <v>14778.96</v>
      </c>
      <c r="R48" s="8">
        <f t="shared" si="8"/>
        <v>151330.23999999999</v>
      </c>
      <c r="S48" s="1">
        <f t="shared" si="1"/>
        <v>12</v>
      </c>
      <c r="T48" s="31">
        <f t="shared" si="2"/>
        <v>12610.853333333333</v>
      </c>
      <c r="V48" s="321">
        <f t="shared" si="9"/>
        <v>0</v>
      </c>
      <c r="W48" s="321">
        <f t="shared" si="9"/>
        <v>70278.209999999992</v>
      </c>
      <c r="X48" s="321">
        <f t="shared" si="9"/>
        <v>0</v>
      </c>
      <c r="Y48" s="321">
        <f t="shared" si="9"/>
        <v>0</v>
      </c>
      <c r="Z48" s="321">
        <f t="shared" si="9"/>
        <v>0</v>
      </c>
      <c r="AA48" s="321">
        <f t="shared" si="9"/>
        <v>0</v>
      </c>
      <c r="AB48" s="321">
        <f t="shared" si="9"/>
        <v>0</v>
      </c>
      <c r="AC48" s="321">
        <f t="shared" si="9"/>
        <v>0</v>
      </c>
      <c r="AD48" s="321">
        <f t="shared" si="9"/>
        <v>0</v>
      </c>
      <c r="AE48" s="321">
        <f t="shared" si="9"/>
        <v>0</v>
      </c>
      <c r="AF48" s="321">
        <f t="shared" si="9"/>
        <v>0</v>
      </c>
      <c r="AG48" s="70">
        <f t="shared" si="5"/>
        <v>70278.209999999992</v>
      </c>
      <c r="AH48" s="321">
        <f t="shared" si="6"/>
        <v>70278.209999999992</v>
      </c>
      <c r="AI48" s="331">
        <f t="shared" si="7"/>
        <v>0</v>
      </c>
    </row>
    <row r="49" spans="1:35" ht="10.5">
      <c r="A49" s="1" t="s">
        <v>535</v>
      </c>
      <c r="B49" s="4">
        <v>15031377</v>
      </c>
      <c r="C49" s="4"/>
      <c r="D49" s="1" t="s">
        <v>625</v>
      </c>
      <c r="E49" s="1" t="s">
        <v>625</v>
      </c>
      <c r="F49" s="181">
        <v>16080.87</v>
      </c>
      <c r="G49" s="184">
        <v>10574.85</v>
      </c>
      <c r="H49" s="229">
        <f>15358.75+5500</f>
        <v>20858.75</v>
      </c>
      <c r="I49" s="192">
        <v>26891.48</v>
      </c>
      <c r="J49" s="217">
        <v>14495.33</v>
      </c>
      <c r="K49" s="217">
        <v>6736.95</v>
      </c>
      <c r="L49" s="217">
        <v>6282.15</v>
      </c>
      <c r="M49" s="217">
        <v>9147.31</v>
      </c>
      <c r="N49" s="217">
        <v>17295.34</v>
      </c>
      <c r="O49" s="220">
        <v>22735.25</v>
      </c>
      <c r="P49" s="304">
        <v>27545.35</v>
      </c>
      <c r="Q49" s="181">
        <v>22179.72</v>
      </c>
      <c r="R49" s="8">
        <f t="shared" si="8"/>
        <v>200823.34999999998</v>
      </c>
      <c r="S49" s="1">
        <f t="shared" si="1"/>
        <v>12</v>
      </c>
      <c r="T49" s="31">
        <f t="shared" si="2"/>
        <v>16735.279166666664</v>
      </c>
      <c r="V49" s="321">
        <f t="shared" si="9"/>
        <v>0</v>
      </c>
      <c r="W49" s="321">
        <f t="shared" si="9"/>
        <v>0</v>
      </c>
      <c r="X49" s="321">
        <f t="shared" si="9"/>
        <v>0</v>
      </c>
      <c r="Y49" s="321">
        <f t="shared" si="9"/>
        <v>0</v>
      </c>
      <c r="Z49" s="321">
        <f t="shared" si="9"/>
        <v>0</v>
      </c>
      <c r="AA49" s="321">
        <f t="shared" si="9"/>
        <v>95638.23</v>
      </c>
      <c r="AB49" s="321">
        <f t="shared" si="9"/>
        <v>0</v>
      </c>
      <c r="AC49" s="321">
        <f t="shared" si="9"/>
        <v>0</v>
      </c>
      <c r="AD49" s="321">
        <f t="shared" si="9"/>
        <v>0</v>
      </c>
      <c r="AE49" s="321">
        <f t="shared" si="9"/>
        <v>0</v>
      </c>
      <c r="AF49" s="321">
        <f t="shared" si="9"/>
        <v>0</v>
      </c>
      <c r="AG49" s="70">
        <f t="shared" si="5"/>
        <v>95638.23</v>
      </c>
      <c r="AH49" s="321">
        <f t="shared" si="6"/>
        <v>95638.23</v>
      </c>
      <c r="AI49" s="331">
        <f t="shared" si="7"/>
        <v>0</v>
      </c>
    </row>
    <row r="50" spans="1:35" ht="10.5">
      <c r="A50" s="1" t="s">
        <v>537</v>
      </c>
      <c r="B50" s="4">
        <v>7006300</v>
      </c>
      <c r="C50" s="4"/>
      <c r="D50" s="1" t="s">
        <v>261</v>
      </c>
      <c r="E50" s="1" t="s">
        <v>261</v>
      </c>
      <c r="F50" s="181">
        <v>12273.97</v>
      </c>
      <c r="G50" s="184">
        <v>10227.450000000001</v>
      </c>
      <c r="H50" s="192">
        <v>16874.87</v>
      </c>
      <c r="I50" s="192">
        <v>15431.38</v>
      </c>
      <c r="J50" s="195">
        <v>15241.43</v>
      </c>
      <c r="K50" s="238">
        <v>9643.32</v>
      </c>
      <c r="L50" s="306">
        <v>12173.43</v>
      </c>
      <c r="M50" s="212">
        <v>10868.09</v>
      </c>
      <c r="N50" s="217">
        <v>16010.97</v>
      </c>
      <c r="O50" s="220">
        <v>20439.189999999999</v>
      </c>
      <c r="P50" s="304">
        <v>19801.14</v>
      </c>
      <c r="Q50" s="172">
        <v>17072.939999999999</v>
      </c>
      <c r="R50" s="8">
        <f t="shared" si="8"/>
        <v>176058.18</v>
      </c>
      <c r="S50" s="1">
        <f t="shared" si="1"/>
        <v>12</v>
      </c>
      <c r="T50" s="31">
        <f t="shared" si="2"/>
        <v>14671.514999999999</v>
      </c>
      <c r="V50" s="321">
        <f t="shared" si="9"/>
        <v>0</v>
      </c>
      <c r="W50" s="321">
        <f t="shared" si="9"/>
        <v>79692.419999999984</v>
      </c>
      <c r="X50" s="321">
        <f t="shared" si="9"/>
        <v>0</v>
      </c>
      <c r="Y50" s="321">
        <f t="shared" si="9"/>
        <v>0</v>
      </c>
      <c r="Z50" s="321">
        <f t="shared" si="9"/>
        <v>0</v>
      </c>
      <c r="AA50" s="321">
        <f t="shared" si="9"/>
        <v>0</v>
      </c>
      <c r="AB50" s="321">
        <f t="shared" si="9"/>
        <v>0</v>
      </c>
      <c r="AC50" s="321">
        <f t="shared" si="9"/>
        <v>0</v>
      </c>
      <c r="AD50" s="321">
        <f t="shared" si="9"/>
        <v>0</v>
      </c>
      <c r="AE50" s="321">
        <f t="shared" si="9"/>
        <v>0</v>
      </c>
      <c r="AF50" s="321">
        <f t="shared" si="9"/>
        <v>0</v>
      </c>
      <c r="AG50" s="70">
        <f t="shared" si="5"/>
        <v>79692.419999999984</v>
      </c>
      <c r="AH50" s="321">
        <f t="shared" si="6"/>
        <v>79692.419999999984</v>
      </c>
      <c r="AI50" s="331">
        <f t="shared" si="7"/>
        <v>0</v>
      </c>
    </row>
    <row r="51" spans="1:35" ht="10.5">
      <c r="A51" s="1" t="s">
        <v>530</v>
      </c>
      <c r="B51" s="4">
        <v>15031776</v>
      </c>
      <c r="C51" s="4"/>
      <c r="D51" s="1" t="s">
        <v>517</v>
      </c>
      <c r="E51" s="1" t="s">
        <v>517</v>
      </c>
      <c r="F51" s="181">
        <v>18518.7</v>
      </c>
      <c r="G51" s="184">
        <v>13977.97</v>
      </c>
      <c r="H51" s="229">
        <v>19963.509999999998</v>
      </c>
      <c r="I51" s="192">
        <v>29003.01</v>
      </c>
      <c r="J51" s="195">
        <v>20115.03</v>
      </c>
      <c r="K51" s="238">
        <v>12099.68</v>
      </c>
      <c r="L51" s="306">
        <v>15725.4</v>
      </c>
      <c r="M51" s="217">
        <v>16221.19</v>
      </c>
      <c r="N51" s="217">
        <v>23575.84</v>
      </c>
      <c r="O51" s="220">
        <v>27601.13</v>
      </c>
      <c r="P51" s="304">
        <v>26759.32</v>
      </c>
      <c r="Q51" s="172">
        <v>21330.95</v>
      </c>
      <c r="R51" s="8">
        <f t="shared" si="8"/>
        <v>244891.73</v>
      </c>
      <c r="S51" s="1">
        <f t="shared" si="1"/>
        <v>12</v>
      </c>
      <c r="T51" s="31">
        <f t="shared" si="2"/>
        <v>20407.644166666669</v>
      </c>
      <c r="V51" s="321">
        <f t="shared" si="9"/>
        <v>0</v>
      </c>
      <c r="W51" s="321">
        <f t="shared" si="9"/>
        <v>0</v>
      </c>
      <c r="X51" s="321">
        <f t="shared" si="9"/>
        <v>0</v>
      </c>
      <c r="Y51" s="321">
        <f t="shared" si="9"/>
        <v>113677.9</v>
      </c>
      <c r="Z51" s="321">
        <f t="shared" si="9"/>
        <v>0</v>
      </c>
      <c r="AA51" s="321">
        <f t="shared" si="9"/>
        <v>0</v>
      </c>
      <c r="AB51" s="321">
        <f t="shared" si="9"/>
        <v>0</v>
      </c>
      <c r="AC51" s="321">
        <f t="shared" si="9"/>
        <v>0</v>
      </c>
      <c r="AD51" s="321">
        <f t="shared" si="9"/>
        <v>0</v>
      </c>
      <c r="AE51" s="321">
        <f t="shared" si="9"/>
        <v>0</v>
      </c>
      <c r="AF51" s="321">
        <f t="shared" si="9"/>
        <v>0</v>
      </c>
      <c r="AG51" s="70">
        <f t="shared" si="5"/>
        <v>113677.9</v>
      </c>
      <c r="AH51" s="321">
        <f t="shared" si="6"/>
        <v>113677.9</v>
      </c>
      <c r="AI51" s="331">
        <f t="shared" si="7"/>
        <v>0</v>
      </c>
    </row>
    <row r="52" spans="1:35" ht="10.5">
      <c r="A52" s="1" t="s">
        <v>530</v>
      </c>
      <c r="B52" s="4">
        <v>7002700</v>
      </c>
      <c r="C52" s="4">
        <v>110</v>
      </c>
      <c r="D52" s="1" t="s">
        <v>262</v>
      </c>
      <c r="E52" s="1" t="s">
        <v>262</v>
      </c>
      <c r="F52" s="181">
        <v>108.12</v>
      </c>
      <c r="G52" s="229">
        <v>101.4</v>
      </c>
      <c r="H52" s="229">
        <v>122.99</v>
      </c>
      <c r="I52" s="195">
        <v>103.96</v>
      </c>
      <c r="J52" s="238">
        <v>173</v>
      </c>
      <c r="K52" s="212">
        <v>126.33</v>
      </c>
      <c r="L52" s="212">
        <v>95.89</v>
      </c>
      <c r="M52" s="212">
        <v>86.84</v>
      </c>
      <c r="N52" s="184">
        <v>103.19</v>
      </c>
      <c r="O52" s="304">
        <v>90.52</v>
      </c>
      <c r="P52" s="304">
        <v>101.56</v>
      </c>
      <c r="Q52" s="184">
        <v>133.38</v>
      </c>
      <c r="R52" s="8">
        <f t="shared" si="8"/>
        <v>1347.1799999999998</v>
      </c>
      <c r="S52" s="1">
        <f t="shared" si="1"/>
        <v>12</v>
      </c>
      <c r="T52" s="31">
        <f t="shared" si="2"/>
        <v>112.26499999999999</v>
      </c>
      <c r="V52" s="321">
        <f t="shared" si="9"/>
        <v>0</v>
      </c>
      <c r="W52" s="321">
        <f t="shared" si="9"/>
        <v>0</v>
      </c>
      <c r="X52" s="321">
        <f t="shared" si="9"/>
        <v>0</v>
      </c>
      <c r="Y52" s="321">
        <f t="shared" si="9"/>
        <v>735.80000000000007</v>
      </c>
      <c r="Z52" s="321">
        <f t="shared" si="9"/>
        <v>0</v>
      </c>
      <c r="AA52" s="321">
        <f t="shared" si="9"/>
        <v>0</v>
      </c>
      <c r="AB52" s="321">
        <f t="shared" si="9"/>
        <v>0</v>
      </c>
      <c r="AC52" s="321">
        <f t="shared" si="9"/>
        <v>0</v>
      </c>
      <c r="AD52" s="321">
        <f t="shared" si="9"/>
        <v>0</v>
      </c>
      <c r="AE52" s="321">
        <f t="shared" si="9"/>
        <v>0</v>
      </c>
      <c r="AF52" s="321">
        <f t="shared" si="9"/>
        <v>0</v>
      </c>
      <c r="AG52" s="70">
        <f t="shared" si="5"/>
        <v>735.80000000000007</v>
      </c>
      <c r="AH52" s="321">
        <f t="shared" si="6"/>
        <v>735.80000000000007</v>
      </c>
      <c r="AI52" s="331">
        <f t="shared" si="7"/>
        <v>0</v>
      </c>
    </row>
    <row r="53" spans="1:35" ht="10.5">
      <c r="A53" s="1" t="s">
        <v>533</v>
      </c>
      <c r="B53" s="4">
        <v>7008700</v>
      </c>
      <c r="C53" s="4">
        <v>773</v>
      </c>
      <c r="D53" s="1" t="s">
        <v>109</v>
      </c>
      <c r="E53" s="1" t="s">
        <v>109</v>
      </c>
      <c r="F53" s="181">
        <v>973.02</v>
      </c>
      <c r="G53" s="184">
        <v>1217.58</v>
      </c>
      <c r="H53" s="229">
        <v>5104.25</v>
      </c>
      <c r="I53" s="192">
        <v>5813.14</v>
      </c>
      <c r="J53" s="195">
        <v>2508.85</v>
      </c>
      <c r="K53" s="238">
        <v>787.21</v>
      </c>
      <c r="L53" s="306">
        <v>436.06</v>
      </c>
      <c r="M53" s="212">
        <v>454.35</v>
      </c>
      <c r="N53" s="217">
        <v>666.19</v>
      </c>
      <c r="O53" s="220">
        <v>2475.25</v>
      </c>
      <c r="P53" s="304">
        <v>1201.92</v>
      </c>
      <c r="Q53" s="172">
        <v>1768.92</v>
      </c>
      <c r="R53" s="8">
        <f t="shared" si="8"/>
        <v>23406.739999999998</v>
      </c>
      <c r="S53" s="1">
        <f t="shared" si="1"/>
        <v>12</v>
      </c>
      <c r="T53" s="31">
        <f t="shared" si="2"/>
        <v>1950.5616666666665</v>
      </c>
      <c r="V53" s="321">
        <f t="shared" si="9"/>
        <v>0</v>
      </c>
      <c r="W53" s="321">
        <f t="shared" si="9"/>
        <v>0</v>
      </c>
      <c r="X53" s="321">
        <f t="shared" si="9"/>
        <v>0</v>
      </c>
      <c r="Y53" s="321">
        <f t="shared" si="9"/>
        <v>0</v>
      </c>
      <c r="Z53" s="321">
        <f t="shared" si="9"/>
        <v>0</v>
      </c>
      <c r="AA53" s="321">
        <f t="shared" si="9"/>
        <v>0</v>
      </c>
      <c r="AB53" s="321">
        <f t="shared" si="9"/>
        <v>16404.050000000003</v>
      </c>
      <c r="AC53" s="321">
        <f t="shared" si="9"/>
        <v>0</v>
      </c>
      <c r="AD53" s="321">
        <f t="shared" si="9"/>
        <v>0</v>
      </c>
      <c r="AE53" s="321">
        <f t="shared" si="9"/>
        <v>0</v>
      </c>
      <c r="AF53" s="321">
        <f t="shared" si="9"/>
        <v>0</v>
      </c>
      <c r="AG53" s="70">
        <f t="shared" si="5"/>
        <v>16404.050000000003</v>
      </c>
      <c r="AH53" s="321">
        <f t="shared" si="6"/>
        <v>16404.050000000003</v>
      </c>
      <c r="AI53" s="331">
        <f t="shared" si="7"/>
        <v>0</v>
      </c>
    </row>
    <row r="54" spans="1:35" ht="10.5">
      <c r="A54" s="1" t="s">
        <v>705</v>
      </c>
      <c r="B54" s="4">
        <v>7008800</v>
      </c>
      <c r="C54" s="4">
        <v>534</v>
      </c>
      <c r="D54" s="1" t="s">
        <v>88</v>
      </c>
      <c r="E54" s="1" t="s">
        <v>88</v>
      </c>
      <c r="F54" s="181">
        <v>767.19</v>
      </c>
      <c r="G54" s="184">
        <v>269.14999999999998</v>
      </c>
      <c r="H54" s="229">
        <v>906.67</v>
      </c>
      <c r="I54" s="192">
        <v>1470.52</v>
      </c>
      <c r="J54" s="195">
        <v>650.61</v>
      </c>
      <c r="K54" s="238">
        <v>689.94</v>
      </c>
      <c r="L54" s="306">
        <v>678.17</v>
      </c>
      <c r="M54" s="212">
        <v>213.35</v>
      </c>
      <c r="N54" s="217">
        <v>826.78</v>
      </c>
      <c r="O54" s="220">
        <v>1413.43</v>
      </c>
      <c r="P54" s="304">
        <v>1550.93</v>
      </c>
      <c r="Q54" s="172">
        <v>1208.07</v>
      </c>
      <c r="R54" s="8">
        <f t="shared" si="8"/>
        <v>10644.81</v>
      </c>
      <c r="S54" s="1">
        <f t="shared" si="1"/>
        <v>12</v>
      </c>
      <c r="T54" s="31">
        <f t="shared" si="2"/>
        <v>887.0675</v>
      </c>
      <c r="V54" s="321">
        <f t="shared" si="9"/>
        <v>0</v>
      </c>
      <c r="W54" s="321">
        <f t="shared" si="9"/>
        <v>0</v>
      </c>
      <c r="X54" s="321">
        <f t="shared" si="9"/>
        <v>0</v>
      </c>
      <c r="Y54" s="321">
        <f t="shared" si="9"/>
        <v>0</v>
      </c>
      <c r="Z54" s="321">
        <f t="shared" si="9"/>
        <v>0</v>
      </c>
      <c r="AA54" s="321">
        <f t="shared" si="9"/>
        <v>0</v>
      </c>
      <c r="AB54" s="321">
        <f t="shared" si="9"/>
        <v>0</v>
      </c>
      <c r="AC54" s="321">
        <f t="shared" si="9"/>
        <v>0</v>
      </c>
      <c r="AD54" s="321">
        <f t="shared" si="9"/>
        <v>0</v>
      </c>
      <c r="AE54" s="321">
        <f t="shared" si="9"/>
        <v>0</v>
      </c>
      <c r="AF54" s="321">
        <f t="shared" si="9"/>
        <v>4754.08</v>
      </c>
      <c r="AG54" s="70">
        <f t="shared" si="5"/>
        <v>4754.08</v>
      </c>
      <c r="AH54" s="321">
        <f t="shared" si="6"/>
        <v>4754.08</v>
      </c>
      <c r="AI54" s="331">
        <f t="shared" si="7"/>
        <v>0</v>
      </c>
    </row>
    <row r="55" spans="1:35" ht="10.5">
      <c r="A55" s="1" t="s">
        <v>663</v>
      </c>
      <c r="B55" s="4">
        <v>10288600</v>
      </c>
      <c r="C55" s="4">
        <v>134</v>
      </c>
      <c r="D55" s="1" t="s">
        <v>264</v>
      </c>
      <c r="E55" s="1" t="s">
        <v>264</v>
      </c>
      <c r="F55" s="181">
        <v>83868.37</v>
      </c>
      <c r="G55" s="184">
        <v>89011.39</v>
      </c>
      <c r="H55" s="229">
        <v>105989.85</v>
      </c>
      <c r="I55" s="192">
        <v>144814.6</v>
      </c>
      <c r="J55" s="195">
        <v>96692.3</v>
      </c>
      <c r="K55" s="238">
        <v>49363.94</v>
      </c>
      <c r="L55" s="306">
        <v>59885.32</v>
      </c>
      <c r="M55" s="212">
        <v>69722.820000000007</v>
      </c>
      <c r="N55" s="217">
        <v>90986.09</v>
      </c>
      <c r="O55" s="220">
        <v>122942.52</v>
      </c>
      <c r="P55" s="304">
        <v>137278.32999999999</v>
      </c>
      <c r="Q55" s="172">
        <v>110788.47</v>
      </c>
      <c r="R55" s="8">
        <f t="shared" si="8"/>
        <v>1161343.9999999998</v>
      </c>
      <c r="S55" s="1">
        <f t="shared" ref="S55:S76" si="10">COUNT(F55:Q55)</f>
        <v>12</v>
      </c>
      <c r="T55" s="31">
        <f t="shared" ref="T55:T76" si="11">+IF(R55=0,0,R55/S55)</f>
        <v>96778.666666666642</v>
      </c>
      <c r="V55" s="321">
        <f t="shared" si="9"/>
        <v>0</v>
      </c>
      <c r="W55" s="321">
        <f t="shared" si="9"/>
        <v>0</v>
      </c>
      <c r="X55" s="321">
        <f t="shared" si="9"/>
        <v>0</v>
      </c>
      <c r="Y55" s="321">
        <f t="shared" si="9"/>
        <v>0</v>
      </c>
      <c r="Z55" s="321">
        <f t="shared" si="9"/>
        <v>0</v>
      </c>
      <c r="AA55" s="321">
        <f t="shared" si="9"/>
        <v>569740.44999999995</v>
      </c>
      <c r="AB55" s="321">
        <f t="shared" si="9"/>
        <v>0</v>
      </c>
      <c r="AC55" s="321">
        <f t="shared" si="9"/>
        <v>0</v>
      </c>
      <c r="AD55" s="321">
        <f t="shared" si="9"/>
        <v>0</v>
      </c>
      <c r="AE55" s="321">
        <f t="shared" si="9"/>
        <v>0</v>
      </c>
      <c r="AF55" s="321">
        <f t="shared" si="9"/>
        <v>0</v>
      </c>
      <c r="AG55" s="70">
        <f t="shared" si="5"/>
        <v>569740.44999999995</v>
      </c>
      <c r="AH55" s="321">
        <f t="shared" si="6"/>
        <v>569740.44999999995</v>
      </c>
      <c r="AI55" s="331">
        <f t="shared" si="7"/>
        <v>0</v>
      </c>
    </row>
    <row r="56" spans="1:35" ht="10.5">
      <c r="A56" s="1" t="s">
        <v>533</v>
      </c>
      <c r="B56" s="4">
        <v>15013835</v>
      </c>
      <c r="C56" s="4">
        <v>4129</v>
      </c>
      <c r="D56" s="1" t="s">
        <v>510</v>
      </c>
      <c r="E56" s="1" t="s">
        <v>510</v>
      </c>
      <c r="F56" s="181">
        <v>7109.46</v>
      </c>
      <c r="G56" s="184">
        <v>5008.26</v>
      </c>
      <c r="H56" s="233"/>
      <c r="I56" s="193"/>
      <c r="J56" s="196"/>
      <c r="K56" s="240"/>
      <c r="L56" s="307"/>
      <c r="M56" s="211"/>
      <c r="N56" s="218"/>
      <c r="O56" s="222"/>
      <c r="P56" s="316"/>
      <c r="Q56" s="173"/>
      <c r="R56" s="8">
        <f t="shared" si="8"/>
        <v>12117.720000000001</v>
      </c>
      <c r="S56" s="1">
        <f t="shared" si="10"/>
        <v>2</v>
      </c>
      <c r="T56" s="31">
        <f t="shared" si="11"/>
        <v>6058.8600000000006</v>
      </c>
      <c r="V56" s="321">
        <f t="shared" si="9"/>
        <v>0</v>
      </c>
      <c r="W56" s="321">
        <f t="shared" si="9"/>
        <v>0</v>
      </c>
      <c r="X56" s="321">
        <f t="shared" si="9"/>
        <v>0</v>
      </c>
      <c r="Y56" s="321">
        <f t="shared" si="9"/>
        <v>0</v>
      </c>
      <c r="Z56" s="321">
        <f t="shared" si="9"/>
        <v>0</v>
      </c>
      <c r="AA56" s="321">
        <f t="shared" si="9"/>
        <v>0</v>
      </c>
      <c r="AB56" s="321">
        <f t="shared" si="9"/>
        <v>12117.720000000001</v>
      </c>
      <c r="AC56" s="321">
        <f t="shared" si="9"/>
        <v>0</v>
      </c>
      <c r="AD56" s="321">
        <f t="shared" si="9"/>
        <v>0</v>
      </c>
      <c r="AE56" s="321">
        <f t="shared" si="9"/>
        <v>0</v>
      </c>
      <c r="AF56" s="321">
        <f t="shared" si="9"/>
        <v>0</v>
      </c>
      <c r="AG56" s="70">
        <f t="shared" si="5"/>
        <v>12117.720000000001</v>
      </c>
      <c r="AH56" s="321">
        <f t="shared" si="6"/>
        <v>12117.720000000001</v>
      </c>
      <c r="AI56" s="331">
        <f t="shared" si="7"/>
        <v>0</v>
      </c>
    </row>
    <row r="57" spans="1:35" ht="10.5">
      <c r="A57" s="1" t="s">
        <v>659</v>
      </c>
      <c r="B57" s="4">
        <v>7005102</v>
      </c>
      <c r="C57" s="4">
        <v>111</v>
      </c>
      <c r="D57" s="1" t="s">
        <v>633</v>
      </c>
      <c r="E57" s="1" t="s">
        <v>265</v>
      </c>
      <c r="F57" s="181">
        <v>8654.2999999999993</v>
      </c>
      <c r="G57" s="184">
        <v>8169.17</v>
      </c>
      <c r="H57" s="192">
        <v>10963.56</v>
      </c>
      <c r="I57" s="192">
        <v>12369.79</v>
      </c>
      <c r="J57" s="195">
        <v>7989.01</v>
      </c>
      <c r="K57" s="238">
        <v>5996.93</v>
      </c>
      <c r="L57" s="306">
        <v>5690.61</v>
      </c>
      <c r="M57" s="212">
        <v>5994.41</v>
      </c>
      <c r="N57" s="217">
        <v>9453.69</v>
      </c>
      <c r="O57" s="220">
        <v>11989.1</v>
      </c>
      <c r="P57" s="304">
        <v>11574.14</v>
      </c>
      <c r="Q57" s="172">
        <v>10259.98</v>
      </c>
      <c r="R57" s="8">
        <f t="shared" si="8"/>
        <v>109104.69</v>
      </c>
      <c r="S57" s="1">
        <f t="shared" si="10"/>
        <v>12</v>
      </c>
      <c r="T57" s="31">
        <f t="shared" si="11"/>
        <v>9092.0575000000008</v>
      </c>
      <c r="V57" s="321">
        <f t="shared" si="9"/>
        <v>0</v>
      </c>
      <c r="W57" s="321">
        <f t="shared" si="9"/>
        <v>0</v>
      </c>
      <c r="X57" s="321">
        <f t="shared" si="9"/>
        <v>0</v>
      </c>
      <c r="Y57" s="321">
        <f t="shared" si="9"/>
        <v>0</v>
      </c>
      <c r="Z57" s="321">
        <f t="shared" si="9"/>
        <v>0</v>
      </c>
      <c r="AA57" s="321">
        <f t="shared" si="9"/>
        <v>0</v>
      </c>
      <c r="AB57" s="321">
        <f t="shared" si="9"/>
        <v>0</v>
      </c>
      <c r="AC57" s="321">
        <f t="shared" si="9"/>
        <v>54142.76</v>
      </c>
      <c r="AD57" s="321">
        <f t="shared" si="9"/>
        <v>0</v>
      </c>
      <c r="AE57" s="321">
        <f t="shared" si="9"/>
        <v>0</v>
      </c>
      <c r="AF57" s="321">
        <f t="shared" si="9"/>
        <v>0</v>
      </c>
      <c r="AG57" s="70">
        <f t="shared" si="5"/>
        <v>54142.76</v>
      </c>
      <c r="AH57" s="321">
        <f t="shared" si="6"/>
        <v>54142.76</v>
      </c>
      <c r="AI57" s="331">
        <f t="shared" si="7"/>
        <v>0</v>
      </c>
    </row>
    <row r="58" spans="1:35" ht="10.5">
      <c r="A58" s="1" t="s">
        <v>659</v>
      </c>
      <c r="B58" s="4">
        <v>15028327</v>
      </c>
      <c r="C58" s="4">
        <v>112</v>
      </c>
      <c r="D58" s="1" t="s">
        <v>566</v>
      </c>
      <c r="E58" s="1" t="s">
        <v>511</v>
      </c>
      <c r="F58" s="181">
        <v>5540.39</v>
      </c>
      <c r="G58" s="184">
        <v>5306.46</v>
      </c>
      <c r="H58" s="192">
        <v>6825.29</v>
      </c>
      <c r="I58" s="192">
        <v>7853.63</v>
      </c>
      <c r="J58" s="195">
        <v>5989.43</v>
      </c>
      <c r="K58" s="238">
        <v>5638.66</v>
      </c>
      <c r="L58" s="306">
        <v>4621.18</v>
      </c>
      <c r="M58" s="212">
        <v>4250.96</v>
      </c>
      <c r="N58" s="217">
        <v>5918.1</v>
      </c>
      <c r="O58" s="220">
        <v>7886.55</v>
      </c>
      <c r="P58" s="304">
        <v>8252.16</v>
      </c>
      <c r="Q58" s="172">
        <v>7928.82</v>
      </c>
      <c r="R58" s="8">
        <f t="shared" si="8"/>
        <v>76011.63</v>
      </c>
      <c r="S58" s="1">
        <f t="shared" si="10"/>
        <v>12</v>
      </c>
      <c r="T58" s="31">
        <f t="shared" si="11"/>
        <v>6334.3025000000007</v>
      </c>
      <c r="V58" s="321">
        <f t="shared" si="9"/>
        <v>0</v>
      </c>
      <c r="W58" s="321">
        <f t="shared" si="9"/>
        <v>0</v>
      </c>
      <c r="X58" s="321">
        <f t="shared" ref="W58:AF83" si="12">+IF($A58=X$1,SUM($F58:$K58),0)</f>
        <v>0</v>
      </c>
      <c r="Y58" s="321">
        <f t="shared" si="12"/>
        <v>0</v>
      </c>
      <c r="Z58" s="321">
        <f t="shared" si="12"/>
        <v>0</v>
      </c>
      <c r="AA58" s="321">
        <f t="shared" si="12"/>
        <v>0</v>
      </c>
      <c r="AB58" s="321">
        <f t="shared" si="12"/>
        <v>0</v>
      </c>
      <c r="AC58" s="321">
        <f t="shared" si="12"/>
        <v>37153.86</v>
      </c>
      <c r="AD58" s="321">
        <f t="shared" si="12"/>
        <v>0</v>
      </c>
      <c r="AE58" s="321">
        <f t="shared" si="12"/>
        <v>0</v>
      </c>
      <c r="AF58" s="321">
        <f t="shared" si="12"/>
        <v>0</v>
      </c>
      <c r="AG58" s="70">
        <f t="shared" si="5"/>
        <v>37153.86</v>
      </c>
      <c r="AH58" s="321">
        <f t="shared" si="6"/>
        <v>37153.86</v>
      </c>
      <c r="AI58" s="331">
        <f t="shared" si="7"/>
        <v>0</v>
      </c>
    </row>
    <row r="59" spans="1:35" ht="10.5">
      <c r="A59" s="1" t="s">
        <v>659</v>
      </c>
      <c r="B59" s="4">
        <v>15036180</v>
      </c>
      <c r="C59" s="4"/>
      <c r="D59" s="1" t="s">
        <v>626</v>
      </c>
      <c r="E59" s="1" t="s">
        <v>687</v>
      </c>
      <c r="F59" s="181">
        <v>7210.77</v>
      </c>
      <c r="G59" s="184">
        <v>4745.1499999999996</v>
      </c>
      <c r="H59" s="192">
        <v>7084.85</v>
      </c>
      <c r="I59" s="192">
        <v>10884.96</v>
      </c>
      <c r="J59" s="195">
        <v>4959.3500000000004</v>
      </c>
      <c r="K59" s="238">
        <v>4166.21</v>
      </c>
      <c r="L59" s="306">
        <v>4238.83</v>
      </c>
      <c r="M59" s="212">
        <v>3864.18</v>
      </c>
      <c r="N59" s="217">
        <v>9328.56</v>
      </c>
      <c r="O59" s="220">
        <v>12970.37</v>
      </c>
      <c r="P59" s="304">
        <v>11810.31</v>
      </c>
      <c r="Q59" s="172">
        <v>7669.65</v>
      </c>
      <c r="R59" s="8">
        <f t="shared" si="8"/>
        <v>88933.189999999988</v>
      </c>
      <c r="S59" s="1">
        <f t="shared" si="10"/>
        <v>12</v>
      </c>
      <c r="T59" s="31">
        <f t="shared" si="11"/>
        <v>7411.099166666666</v>
      </c>
      <c r="V59" s="321">
        <f t="shared" ref="V59:V104" si="13">+IF($A59=V$1,SUM($F59:$K59),0)</f>
        <v>0</v>
      </c>
      <c r="W59" s="321">
        <f t="shared" si="12"/>
        <v>0</v>
      </c>
      <c r="X59" s="321">
        <f t="shared" si="12"/>
        <v>0</v>
      </c>
      <c r="Y59" s="321">
        <f t="shared" si="12"/>
        <v>0</v>
      </c>
      <c r="Z59" s="321">
        <f t="shared" si="12"/>
        <v>0</v>
      </c>
      <c r="AA59" s="321">
        <f t="shared" si="12"/>
        <v>0</v>
      </c>
      <c r="AB59" s="321">
        <f t="shared" si="12"/>
        <v>0</v>
      </c>
      <c r="AC59" s="321">
        <f t="shared" si="12"/>
        <v>39051.29</v>
      </c>
      <c r="AD59" s="321">
        <f t="shared" si="12"/>
        <v>0</v>
      </c>
      <c r="AE59" s="321">
        <f t="shared" si="12"/>
        <v>0</v>
      </c>
      <c r="AF59" s="321">
        <f t="shared" si="12"/>
        <v>0</v>
      </c>
      <c r="AG59" s="70">
        <f t="shared" si="5"/>
        <v>39051.29</v>
      </c>
      <c r="AH59" s="321">
        <f t="shared" si="6"/>
        <v>39051.29</v>
      </c>
      <c r="AI59" s="331">
        <f t="shared" si="7"/>
        <v>0</v>
      </c>
    </row>
    <row r="60" spans="1:35" ht="10.5">
      <c r="A60" s="1" t="s">
        <v>535</v>
      </c>
      <c r="B60" s="4">
        <v>7008901</v>
      </c>
      <c r="C60" s="4">
        <v>135</v>
      </c>
      <c r="D60" s="1" t="s">
        <v>268</v>
      </c>
      <c r="E60" s="1" t="s">
        <v>268</v>
      </c>
      <c r="F60" s="181">
        <v>7357.2</v>
      </c>
      <c r="G60" s="184">
        <v>5066.16</v>
      </c>
      <c r="H60" s="229">
        <v>6651.59</v>
      </c>
      <c r="I60" s="192">
        <v>8437.1</v>
      </c>
      <c r="J60" s="195">
        <v>4074.31</v>
      </c>
      <c r="K60" s="238">
        <v>2465.85</v>
      </c>
      <c r="L60" s="306">
        <v>3270.89</v>
      </c>
      <c r="M60" s="212">
        <v>3241.65</v>
      </c>
      <c r="N60" s="217">
        <v>4102.87</v>
      </c>
      <c r="O60" s="220">
        <v>8188.82</v>
      </c>
      <c r="P60" s="304">
        <v>6440.62</v>
      </c>
      <c r="Q60" s="172">
        <v>6275.3</v>
      </c>
      <c r="R60" s="8">
        <f t="shared" si="8"/>
        <v>65572.360000000015</v>
      </c>
      <c r="S60" s="1">
        <f t="shared" si="10"/>
        <v>12</v>
      </c>
      <c r="T60" s="31">
        <f t="shared" si="11"/>
        <v>5464.3633333333346</v>
      </c>
      <c r="V60" s="321">
        <f t="shared" si="13"/>
        <v>0</v>
      </c>
      <c r="W60" s="321">
        <f t="shared" si="12"/>
        <v>0</v>
      </c>
      <c r="X60" s="321">
        <f t="shared" si="12"/>
        <v>0</v>
      </c>
      <c r="Y60" s="321">
        <f t="shared" si="12"/>
        <v>0</v>
      </c>
      <c r="Z60" s="321">
        <f t="shared" si="12"/>
        <v>0</v>
      </c>
      <c r="AA60" s="321">
        <f t="shared" si="12"/>
        <v>34052.210000000006</v>
      </c>
      <c r="AB60" s="321">
        <f t="shared" si="12"/>
        <v>0</v>
      </c>
      <c r="AC60" s="321">
        <f t="shared" si="12"/>
        <v>0</v>
      </c>
      <c r="AD60" s="321">
        <f t="shared" si="12"/>
        <v>0</v>
      </c>
      <c r="AE60" s="321">
        <f t="shared" si="12"/>
        <v>0</v>
      </c>
      <c r="AF60" s="321">
        <f t="shared" si="12"/>
        <v>0</v>
      </c>
      <c r="AG60" s="70">
        <f t="shared" si="5"/>
        <v>34052.210000000006</v>
      </c>
      <c r="AH60" s="321">
        <f t="shared" si="6"/>
        <v>34052.210000000006</v>
      </c>
      <c r="AI60" s="331">
        <f t="shared" si="7"/>
        <v>0</v>
      </c>
    </row>
    <row r="61" spans="1:35" ht="10.5">
      <c r="A61" s="1" t="s">
        <v>662</v>
      </c>
      <c r="B61" s="4">
        <v>7001502</v>
      </c>
      <c r="C61" s="4">
        <v>128</v>
      </c>
      <c r="D61" s="1" t="s">
        <v>650</v>
      </c>
      <c r="E61" s="1" t="s">
        <v>270</v>
      </c>
      <c r="F61" s="181">
        <v>12864.54</v>
      </c>
      <c r="G61" s="184">
        <v>6729.83</v>
      </c>
      <c r="H61" s="192">
        <v>11143.08</v>
      </c>
      <c r="I61" s="192">
        <v>12829.35</v>
      </c>
      <c r="J61" s="195">
        <v>7394.46</v>
      </c>
      <c r="K61" s="238">
        <v>3992.59</v>
      </c>
      <c r="L61" s="306">
        <v>4604</v>
      </c>
      <c r="M61" s="212">
        <v>4866.16</v>
      </c>
      <c r="N61" s="217">
        <v>10330.89</v>
      </c>
      <c r="O61" s="220">
        <v>12811.77</v>
      </c>
      <c r="P61" s="304">
        <v>13366.89</v>
      </c>
      <c r="Q61" s="172">
        <v>12651.73</v>
      </c>
      <c r="R61" s="8">
        <f t="shared" si="8"/>
        <v>113585.29000000001</v>
      </c>
      <c r="S61" s="1">
        <f t="shared" si="10"/>
        <v>12</v>
      </c>
      <c r="T61" s="31">
        <f t="shared" si="11"/>
        <v>9465.440833333334</v>
      </c>
      <c r="V61" s="321">
        <f t="shared" si="13"/>
        <v>0</v>
      </c>
      <c r="W61" s="321">
        <f t="shared" si="12"/>
        <v>0</v>
      </c>
      <c r="X61" s="321">
        <f t="shared" si="12"/>
        <v>0</v>
      </c>
      <c r="Y61" s="321">
        <f t="shared" si="12"/>
        <v>0</v>
      </c>
      <c r="Z61" s="321">
        <f t="shared" si="12"/>
        <v>54953.850000000006</v>
      </c>
      <c r="AA61" s="321">
        <f t="shared" si="12"/>
        <v>0</v>
      </c>
      <c r="AB61" s="321">
        <f t="shared" si="12"/>
        <v>0</v>
      </c>
      <c r="AC61" s="321">
        <f t="shared" si="12"/>
        <v>0</v>
      </c>
      <c r="AD61" s="321">
        <f t="shared" si="12"/>
        <v>0</v>
      </c>
      <c r="AE61" s="321">
        <f t="shared" si="12"/>
        <v>0</v>
      </c>
      <c r="AF61" s="321">
        <f t="shared" si="12"/>
        <v>0</v>
      </c>
      <c r="AG61" s="70">
        <f t="shared" si="5"/>
        <v>54953.850000000006</v>
      </c>
      <c r="AH61" s="321">
        <f t="shared" si="6"/>
        <v>54953.850000000006</v>
      </c>
      <c r="AI61" s="331">
        <f t="shared" si="7"/>
        <v>0</v>
      </c>
    </row>
    <row r="62" spans="1:35" ht="10.5">
      <c r="A62" s="1" t="s">
        <v>662</v>
      </c>
      <c r="B62" s="4">
        <v>15038477</v>
      </c>
      <c r="C62" s="4"/>
      <c r="D62" s="1" t="s">
        <v>479</v>
      </c>
      <c r="E62" s="1" t="s">
        <v>479</v>
      </c>
      <c r="F62" s="181">
        <v>7336.31</v>
      </c>
      <c r="G62" s="184">
        <v>6489.05</v>
      </c>
      <c r="H62" s="192">
        <v>8764.9699999999993</v>
      </c>
      <c r="I62" s="192">
        <v>13259.2</v>
      </c>
      <c r="J62" s="195">
        <v>8830.41</v>
      </c>
      <c r="K62" s="238">
        <v>7280.13</v>
      </c>
      <c r="L62" s="306">
        <v>6993.96</v>
      </c>
      <c r="M62" s="212">
        <v>7491.06</v>
      </c>
      <c r="N62" s="217">
        <v>9403.14</v>
      </c>
      <c r="O62" s="220">
        <v>10875.74</v>
      </c>
      <c r="P62" s="304">
        <v>10674.9</v>
      </c>
      <c r="Q62" s="172">
        <v>9732.5400000000009</v>
      </c>
      <c r="R62" s="8">
        <f t="shared" si="8"/>
        <v>107131.41</v>
      </c>
      <c r="S62" s="1">
        <f t="shared" si="10"/>
        <v>12</v>
      </c>
      <c r="T62" s="31">
        <f t="shared" si="11"/>
        <v>8927.6175000000003</v>
      </c>
      <c r="V62" s="321">
        <f t="shared" si="13"/>
        <v>0</v>
      </c>
      <c r="W62" s="321">
        <f t="shared" si="12"/>
        <v>0</v>
      </c>
      <c r="X62" s="321">
        <f t="shared" si="12"/>
        <v>0</v>
      </c>
      <c r="Y62" s="321">
        <f t="shared" si="12"/>
        <v>0</v>
      </c>
      <c r="Z62" s="321">
        <f t="shared" si="12"/>
        <v>51960.07</v>
      </c>
      <c r="AA62" s="321">
        <f t="shared" si="12"/>
        <v>0</v>
      </c>
      <c r="AB62" s="321">
        <f t="shared" si="12"/>
        <v>0</v>
      </c>
      <c r="AC62" s="321">
        <f t="shared" si="12"/>
        <v>0</v>
      </c>
      <c r="AD62" s="321">
        <f t="shared" si="12"/>
        <v>0</v>
      </c>
      <c r="AE62" s="321">
        <f t="shared" si="12"/>
        <v>0</v>
      </c>
      <c r="AF62" s="321">
        <f t="shared" si="12"/>
        <v>0</v>
      </c>
      <c r="AG62" s="70">
        <f t="shared" si="5"/>
        <v>51960.07</v>
      </c>
      <c r="AH62" s="321">
        <f t="shared" si="6"/>
        <v>51960.07</v>
      </c>
      <c r="AI62" s="331">
        <f t="shared" si="7"/>
        <v>0</v>
      </c>
    </row>
    <row r="63" spans="1:35" ht="10.5">
      <c r="A63" s="1" t="s">
        <v>658</v>
      </c>
      <c r="B63" s="4">
        <v>15051247</v>
      </c>
      <c r="C63" s="4"/>
      <c r="D63" s="1" t="s">
        <v>480</v>
      </c>
      <c r="E63" s="1" t="s">
        <v>480</v>
      </c>
      <c r="F63" s="181">
        <v>10483.11</v>
      </c>
      <c r="G63" s="184">
        <v>9748.0300000000007</v>
      </c>
      <c r="H63" s="192">
        <v>11542.34</v>
      </c>
      <c r="I63" s="192">
        <v>14616.68</v>
      </c>
      <c r="J63" s="195">
        <v>12297.52</v>
      </c>
      <c r="K63" s="238">
        <v>10018.74</v>
      </c>
      <c r="L63" s="306">
        <v>9562.93</v>
      </c>
      <c r="M63" s="212">
        <v>11218.27</v>
      </c>
      <c r="N63" s="217">
        <v>13534.74</v>
      </c>
      <c r="O63" s="220">
        <v>15700.17</v>
      </c>
      <c r="P63" s="304">
        <v>14744.35</v>
      </c>
      <c r="Q63" s="172">
        <v>13714.95</v>
      </c>
      <c r="R63" s="8">
        <f t="shared" si="8"/>
        <v>147181.83000000002</v>
      </c>
      <c r="S63" s="1">
        <f t="shared" si="10"/>
        <v>12</v>
      </c>
      <c r="T63" s="31">
        <f t="shared" si="11"/>
        <v>12265.152500000002</v>
      </c>
      <c r="V63" s="321">
        <f t="shared" si="13"/>
        <v>0</v>
      </c>
      <c r="W63" s="321">
        <f t="shared" si="12"/>
        <v>0</v>
      </c>
      <c r="X63" s="321">
        <f t="shared" si="12"/>
        <v>0</v>
      </c>
      <c r="Y63" s="321">
        <f t="shared" si="12"/>
        <v>0</v>
      </c>
      <c r="Z63" s="321">
        <f t="shared" si="12"/>
        <v>0</v>
      </c>
      <c r="AA63" s="321">
        <f t="shared" si="12"/>
        <v>0</v>
      </c>
      <c r="AB63" s="321">
        <f t="shared" si="12"/>
        <v>0</v>
      </c>
      <c r="AC63" s="321">
        <f t="shared" si="12"/>
        <v>0</v>
      </c>
      <c r="AD63" s="321">
        <f t="shared" si="12"/>
        <v>68706.420000000013</v>
      </c>
      <c r="AE63" s="321">
        <f t="shared" si="12"/>
        <v>0</v>
      </c>
      <c r="AF63" s="321">
        <f t="shared" si="12"/>
        <v>0</v>
      </c>
      <c r="AG63" s="70">
        <f t="shared" si="5"/>
        <v>68706.420000000013</v>
      </c>
      <c r="AH63" s="321">
        <f t="shared" si="6"/>
        <v>68706.420000000013</v>
      </c>
      <c r="AI63" s="331">
        <f t="shared" si="7"/>
        <v>0</v>
      </c>
    </row>
    <row r="64" spans="1:35" ht="10.5">
      <c r="A64" s="1" t="s">
        <v>530</v>
      </c>
      <c r="B64" s="4">
        <v>15051245</v>
      </c>
      <c r="C64" s="4"/>
      <c r="D64" s="1" t="s">
        <v>630</v>
      </c>
      <c r="E64" s="1" t="s">
        <v>630</v>
      </c>
      <c r="F64" s="181">
        <v>17265.12</v>
      </c>
      <c r="G64" s="184">
        <v>14128.68</v>
      </c>
      <c r="H64" s="229">
        <v>23231.18</v>
      </c>
      <c r="I64" s="192">
        <v>31050.25</v>
      </c>
      <c r="J64" s="195">
        <v>23598.98</v>
      </c>
      <c r="K64" s="238">
        <v>17293.849999999999</v>
      </c>
      <c r="L64" s="306">
        <v>21394.25</v>
      </c>
      <c r="M64" s="212">
        <v>15120.57</v>
      </c>
      <c r="N64" s="217">
        <v>19291.689999999999</v>
      </c>
      <c r="O64" s="220">
        <v>25432.77</v>
      </c>
      <c r="P64" s="304">
        <v>27648.46</v>
      </c>
      <c r="Q64" s="172">
        <v>22886</v>
      </c>
      <c r="R64" s="8">
        <f>+SUM(F64:Q64)</f>
        <v>258341.8</v>
      </c>
      <c r="S64" s="1">
        <f t="shared" si="10"/>
        <v>12</v>
      </c>
      <c r="T64" s="31">
        <f t="shared" si="11"/>
        <v>21528.483333333334</v>
      </c>
      <c r="V64" s="321">
        <f t="shared" si="13"/>
        <v>0</v>
      </c>
      <c r="W64" s="321">
        <f t="shared" si="12"/>
        <v>0</v>
      </c>
      <c r="X64" s="321">
        <f t="shared" si="12"/>
        <v>0</v>
      </c>
      <c r="Y64" s="321">
        <f t="shared" si="12"/>
        <v>126568.06</v>
      </c>
      <c r="Z64" s="321">
        <f t="shared" si="12"/>
        <v>0</v>
      </c>
      <c r="AA64" s="321">
        <f t="shared" si="12"/>
        <v>0</v>
      </c>
      <c r="AB64" s="321">
        <f t="shared" si="12"/>
        <v>0</v>
      </c>
      <c r="AC64" s="321">
        <f t="shared" si="12"/>
        <v>0</v>
      </c>
      <c r="AD64" s="321">
        <f t="shared" si="12"/>
        <v>0</v>
      </c>
      <c r="AE64" s="321">
        <f t="shared" si="12"/>
        <v>0</v>
      </c>
      <c r="AF64" s="321">
        <f t="shared" si="12"/>
        <v>0</v>
      </c>
      <c r="AG64" s="70">
        <f t="shared" si="5"/>
        <v>126568.06</v>
      </c>
      <c r="AH64" s="321">
        <f t="shared" si="6"/>
        <v>126568.06</v>
      </c>
      <c r="AI64" s="331">
        <f t="shared" si="7"/>
        <v>0</v>
      </c>
    </row>
    <row r="65" spans="1:35" ht="10.5">
      <c r="A65" s="1" t="s">
        <v>535</v>
      </c>
      <c r="B65" s="4">
        <v>7004001</v>
      </c>
      <c r="C65" s="4">
        <v>116</v>
      </c>
      <c r="D65" s="1" t="s">
        <v>631</v>
      </c>
      <c r="E65" s="1" t="s">
        <v>277</v>
      </c>
      <c r="F65" s="181">
        <v>15460.95</v>
      </c>
      <c r="G65" s="184">
        <v>15537.29</v>
      </c>
      <c r="H65" s="229">
        <v>21468.67</v>
      </c>
      <c r="I65" s="192">
        <v>22408.23</v>
      </c>
      <c r="J65" s="195">
        <v>19321.34</v>
      </c>
      <c r="K65" s="238">
        <v>13413.12</v>
      </c>
      <c r="L65" s="306">
        <v>11690.09</v>
      </c>
      <c r="M65" s="212">
        <v>12655.62</v>
      </c>
      <c r="N65" s="217">
        <v>16495.29</v>
      </c>
      <c r="O65" s="220">
        <v>17813.419999999998</v>
      </c>
      <c r="P65" s="304">
        <v>18808.23</v>
      </c>
      <c r="Q65" s="172">
        <v>18612.189999999999</v>
      </c>
      <c r="R65" s="8">
        <f>+SUM(F65:Q65)</f>
        <v>203684.44000000003</v>
      </c>
      <c r="S65" s="1">
        <f t="shared" si="10"/>
        <v>12</v>
      </c>
      <c r="T65" s="31">
        <f t="shared" si="11"/>
        <v>16973.703333333335</v>
      </c>
      <c r="V65" s="321">
        <f t="shared" si="13"/>
        <v>0</v>
      </c>
      <c r="W65" s="321">
        <f t="shared" si="12"/>
        <v>0</v>
      </c>
      <c r="X65" s="321">
        <f t="shared" si="12"/>
        <v>0</v>
      </c>
      <c r="Y65" s="321">
        <f t="shared" si="12"/>
        <v>0</v>
      </c>
      <c r="Z65" s="321">
        <f t="shared" si="12"/>
        <v>0</v>
      </c>
      <c r="AA65" s="321">
        <f t="shared" si="12"/>
        <v>107609.59999999999</v>
      </c>
      <c r="AB65" s="321">
        <f t="shared" si="12"/>
        <v>0</v>
      </c>
      <c r="AC65" s="321">
        <f t="shared" si="12"/>
        <v>0</v>
      </c>
      <c r="AD65" s="321">
        <f t="shared" si="12"/>
        <v>0</v>
      </c>
      <c r="AE65" s="321">
        <f t="shared" si="12"/>
        <v>0</v>
      </c>
      <c r="AF65" s="321">
        <f t="shared" si="12"/>
        <v>0</v>
      </c>
      <c r="AG65" s="70">
        <f t="shared" si="5"/>
        <v>107609.59999999999</v>
      </c>
      <c r="AH65" s="321">
        <f t="shared" si="6"/>
        <v>107609.59999999999</v>
      </c>
      <c r="AI65" s="331">
        <f t="shared" si="7"/>
        <v>0</v>
      </c>
    </row>
    <row r="66" spans="1:35" ht="10.5">
      <c r="A66" s="1" t="s">
        <v>537</v>
      </c>
      <c r="B66" s="4">
        <v>15036831</v>
      </c>
      <c r="C66" s="4"/>
      <c r="D66" s="1" t="s">
        <v>364</v>
      </c>
      <c r="E66" s="1" t="s">
        <v>364</v>
      </c>
      <c r="F66" s="181">
        <v>21014.55</v>
      </c>
      <c r="G66" s="184">
        <v>18455.96</v>
      </c>
      <c r="H66" s="229">
        <v>28282.880000000001</v>
      </c>
      <c r="I66" s="192">
        <v>33954.1</v>
      </c>
      <c r="J66" s="195">
        <v>25667.74</v>
      </c>
      <c r="K66" s="238">
        <v>20918.36</v>
      </c>
      <c r="L66" s="306">
        <v>24863.73</v>
      </c>
      <c r="M66" s="212">
        <v>21690.36</v>
      </c>
      <c r="N66" s="217">
        <v>29108.74</v>
      </c>
      <c r="O66" s="220">
        <v>32147.48</v>
      </c>
      <c r="P66" s="304">
        <v>31249.83</v>
      </c>
      <c r="Q66" s="172">
        <v>28258.7</v>
      </c>
      <c r="R66" s="8">
        <f>+SUM(F66:Q66)</f>
        <v>315612.43</v>
      </c>
      <c r="S66" s="1">
        <f t="shared" si="10"/>
        <v>12</v>
      </c>
      <c r="T66" s="31">
        <f t="shared" si="11"/>
        <v>26301.035833333332</v>
      </c>
      <c r="V66" s="321">
        <f t="shared" si="13"/>
        <v>0</v>
      </c>
      <c r="W66" s="321">
        <f t="shared" si="12"/>
        <v>148293.59</v>
      </c>
      <c r="X66" s="321">
        <f t="shared" si="12"/>
        <v>0</v>
      </c>
      <c r="Y66" s="321">
        <f t="shared" si="12"/>
        <v>0</v>
      </c>
      <c r="Z66" s="321">
        <f t="shared" si="12"/>
        <v>0</v>
      </c>
      <c r="AA66" s="321">
        <f t="shared" si="12"/>
        <v>0</v>
      </c>
      <c r="AB66" s="321">
        <f t="shared" si="12"/>
        <v>0</v>
      </c>
      <c r="AC66" s="321">
        <f t="shared" si="12"/>
        <v>0</v>
      </c>
      <c r="AD66" s="321">
        <f t="shared" si="12"/>
        <v>0</v>
      </c>
      <c r="AE66" s="321">
        <f t="shared" si="12"/>
        <v>0</v>
      </c>
      <c r="AF66" s="321">
        <f t="shared" si="12"/>
        <v>0</v>
      </c>
      <c r="AG66" s="70">
        <f t="shared" si="5"/>
        <v>148293.59</v>
      </c>
      <c r="AH66" s="321">
        <f t="shared" si="6"/>
        <v>148293.59</v>
      </c>
      <c r="AI66" s="331">
        <f t="shared" si="7"/>
        <v>0</v>
      </c>
    </row>
    <row r="67" spans="1:35" ht="10.5">
      <c r="A67" s="1" t="s">
        <v>530</v>
      </c>
      <c r="B67" s="42">
        <v>15035622</v>
      </c>
      <c r="C67" s="42"/>
      <c r="D67" s="11" t="s">
        <v>634</v>
      </c>
      <c r="E67" s="11" t="s">
        <v>280</v>
      </c>
      <c r="F67" s="181">
        <v>11064</v>
      </c>
      <c r="G67" s="184">
        <v>8793.3799999999992</v>
      </c>
      <c r="H67" s="229">
        <v>12763.8</v>
      </c>
      <c r="I67" s="192">
        <v>18337.830000000002</v>
      </c>
      <c r="J67" s="195">
        <v>10294.59</v>
      </c>
      <c r="K67" s="238">
        <v>7427.36</v>
      </c>
      <c r="L67" s="306">
        <v>6629.08</v>
      </c>
      <c r="M67" s="212">
        <v>7352.78</v>
      </c>
      <c r="N67" s="217">
        <v>12705.2</v>
      </c>
      <c r="O67" s="220">
        <v>16483.740000000002</v>
      </c>
      <c r="P67" s="304">
        <v>14822.82</v>
      </c>
      <c r="Q67" s="172">
        <v>12878.36</v>
      </c>
      <c r="R67" s="8">
        <f t="shared" ref="R67:R76" si="14">+SUM(F67:Q67)</f>
        <v>139552.94</v>
      </c>
      <c r="S67" s="1">
        <f t="shared" si="10"/>
        <v>12</v>
      </c>
      <c r="T67" s="31">
        <f t="shared" si="11"/>
        <v>11629.411666666667</v>
      </c>
      <c r="V67" s="321">
        <f t="shared" si="13"/>
        <v>0</v>
      </c>
      <c r="W67" s="321">
        <f t="shared" si="12"/>
        <v>0</v>
      </c>
      <c r="X67" s="321">
        <f t="shared" si="12"/>
        <v>0</v>
      </c>
      <c r="Y67" s="321">
        <f t="shared" si="12"/>
        <v>68680.959999999992</v>
      </c>
      <c r="Z67" s="321">
        <f t="shared" si="12"/>
        <v>0</v>
      </c>
      <c r="AA67" s="321">
        <f t="shared" si="12"/>
        <v>0</v>
      </c>
      <c r="AB67" s="321">
        <f t="shared" si="12"/>
        <v>0</v>
      </c>
      <c r="AC67" s="321">
        <f t="shared" si="12"/>
        <v>0</v>
      </c>
      <c r="AD67" s="321">
        <f t="shared" si="12"/>
        <v>0</v>
      </c>
      <c r="AE67" s="321">
        <f t="shared" si="12"/>
        <v>0</v>
      </c>
      <c r="AF67" s="321">
        <f t="shared" si="12"/>
        <v>0</v>
      </c>
      <c r="AG67" s="70">
        <f t="shared" ref="AG67:AG103" si="15">+SUM(V67:AF67)</f>
        <v>68680.959999999992</v>
      </c>
      <c r="AH67" s="321">
        <f t="shared" ref="AH67:AH104" si="16">+SUM(F67:K67)</f>
        <v>68680.959999999992</v>
      </c>
      <c r="AI67" s="331">
        <f t="shared" ref="AI67:AI104" si="17">+AG67-AH67</f>
        <v>0</v>
      </c>
    </row>
    <row r="68" spans="1:35" ht="10.5">
      <c r="A68" s="1" t="s">
        <v>661</v>
      </c>
      <c r="B68" s="4">
        <v>15051589</v>
      </c>
      <c r="C68" s="4"/>
      <c r="D68" s="1" t="s">
        <v>281</v>
      </c>
      <c r="E68" s="1" t="s">
        <v>281</v>
      </c>
      <c r="F68" s="181">
        <v>1558.26</v>
      </c>
      <c r="G68" s="184">
        <v>1685.6</v>
      </c>
      <c r="H68" s="229">
        <v>2075.0100000000002</v>
      </c>
      <c r="I68" s="192">
        <v>2509.59</v>
      </c>
      <c r="J68" s="195">
        <v>2201.2600000000002</v>
      </c>
      <c r="K68" s="238">
        <v>2095.36</v>
      </c>
      <c r="L68" s="306">
        <v>2067.71</v>
      </c>
      <c r="M68" s="212">
        <v>1991.94</v>
      </c>
      <c r="N68" s="217">
        <v>2288.81</v>
      </c>
      <c r="O68" s="220">
        <v>2340.2399999999998</v>
      </c>
      <c r="P68" s="304">
        <v>2367.77</v>
      </c>
      <c r="Q68" s="172">
        <v>2255.44</v>
      </c>
      <c r="R68" s="8">
        <f t="shared" si="14"/>
        <v>25436.989999999998</v>
      </c>
      <c r="S68" s="1">
        <f t="shared" si="10"/>
        <v>12</v>
      </c>
      <c r="T68" s="31">
        <f t="shared" si="11"/>
        <v>2119.7491666666665</v>
      </c>
      <c r="V68" s="321">
        <f t="shared" si="13"/>
        <v>0</v>
      </c>
      <c r="W68" s="321">
        <f t="shared" si="12"/>
        <v>0</v>
      </c>
      <c r="X68" s="321">
        <f t="shared" si="12"/>
        <v>0</v>
      </c>
      <c r="Y68" s="321">
        <f t="shared" si="12"/>
        <v>0</v>
      </c>
      <c r="Z68" s="321">
        <f t="shared" si="12"/>
        <v>0</v>
      </c>
      <c r="AA68" s="321">
        <f t="shared" si="12"/>
        <v>0</v>
      </c>
      <c r="AB68" s="321">
        <f t="shared" si="12"/>
        <v>0</v>
      </c>
      <c r="AC68" s="321">
        <f t="shared" si="12"/>
        <v>0</v>
      </c>
      <c r="AD68" s="321">
        <f t="shared" si="12"/>
        <v>0</v>
      </c>
      <c r="AE68" s="321">
        <f t="shared" si="12"/>
        <v>12125.080000000002</v>
      </c>
      <c r="AF68" s="321">
        <f t="shared" si="12"/>
        <v>0</v>
      </c>
      <c r="AG68" s="70">
        <f t="shared" si="15"/>
        <v>12125.080000000002</v>
      </c>
      <c r="AH68" s="321">
        <f t="shared" si="16"/>
        <v>12125.080000000002</v>
      </c>
      <c r="AI68" s="331">
        <f t="shared" si="17"/>
        <v>0</v>
      </c>
    </row>
    <row r="69" spans="1:35" ht="10.5">
      <c r="A69" s="1" t="s">
        <v>660</v>
      </c>
      <c r="B69" s="4">
        <v>15051246</v>
      </c>
      <c r="C69" s="4"/>
      <c r="D69" s="1" t="s">
        <v>91</v>
      </c>
      <c r="E69" s="1" t="s">
        <v>91</v>
      </c>
      <c r="F69" s="181">
        <v>20432.46</v>
      </c>
      <c r="G69" s="184">
        <v>17574.240000000002</v>
      </c>
      <c r="H69" s="229">
        <v>24876.78</v>
      </c>
      <c r="I69" s="192">
        <v>32166.04</v>
      </c>
      <c r="J69" s="195">
        <v>23515.08</v>
      </c>
      <c r="K69" s="238">
        <v>13765.5</v>
      </c>
      <c r="L69" s="306">
        <v>17769.169999999998</v>
      </c>
      <c r="M69" s="212">
        <v>18241.68</v>
      </c>
      <c r="N69" s="217">
        <v>26970.5</v>
      </c>
      <c r="O69" s="220">
        <v>33776.199999999997</v>
      </c>
      <c r="P69" s="304">
        <v>32895.51</v>
      </c>
      <c r="Q69" s="172">
        <v>29392.15</v>
      </c>
      <c r="R69" s="8">
        <f t="shared" si="14"/>
        <v>291375.31</v>
      </c>
      <c r="S69" s="1">
        <f t="shared" si="10"/>
        <v>12</v>
      </c>
      <c r="T69" s="31">
        <f t="shared" si="11"/>
        <v>24281.275833333333</v>
      </c>
      <c r="V69" s="321">
        <f t="shared" si="13"/>
        <v>0</v>
      </c>
      <c r="W69" s="321">
        <f t="shared" si="12"/>
        <v>0</v>
      </c>
      <c r="X69" s="321">
        <f t="shared" si="12"/>
        <v>0</v>
      </c>
      <c r="Y69" s="321">
        <f t="shared" si="12"/>
        <v>0</v>
      </c>
      <c r="Z69" s="321">
        <f t="shared" si="12"/>
        <v>0</v>
      </c>
      <c r="AA69" s="321">
        <f t="shared" si="12"/>
        <v>0</v>
      </c>
      <c r="AB69" s="321">
        <f t="shared" si="12"/>
        <v>0</v>
      </c>
      <c r="AC69" s="321">
        <f t="shared" si="12"/>
        <v>0</v>
      </c>
      <c r="AD69" s="321">
        <f t="shared" si="12"/>
        <v>0</v>
      </c>
      <c r="AE69" s="321">
        <f t="shared" si="12"/>
        <v>132330.09999999998</v>
      </c>
      <c r="AF69" s="321">
        <f t="shared" si="12"/>
        <v>0</v>
      </c>
      <c r="AG69" s="70">
        <f t="shared" si="15"/>
        <v>132330.09999999998</v>
      </c>
      <c r="AH69" s="321">
        <f t="shared" si="16"/>
        <v>132330.09999999998</v>
      </c>
      <c r="AI69" s="331">
        <f t="shared" si="17"/>
        <v>0</v>
      </c>
    </row>
    <row r="70" spans="1:35" ht="10.5">
      <c r="A70" s="1" t="s">
        <v>704</v>
      </c>
      <c r="B70" s="4">
        <v>15032636</v>
      </c>
      <c r="C70" s="4"/>
      <c r="D70" s="1" t="s">
        <v>624</v>
      </c>
      <c r="E70" s="1" t="s">
        <v>574</v>
      </c>
      <c r="F70" s="181">
        <v>18470.080000000002</v>
      </c>
      <c r="G70" s="184">
        <v>18838.05</v>
      </c>
      <c r="H70" s="229">
        <v>24436.28</v>
      </c>
      <c r="I70" s="192">
        <v>25339.1</v>
      </c>
      <c r="J70" s="195">
        <v>19688.73</v>
      </c>
      <c r="K70" s="238">
        <v>19200.439999999999</v>
      </c>
      <c r="L70" s="306">
        <v>16986.02</v>
      </c>
      <c r="M70" s="212">
        <v>15871.85</v>
      </c>
      <c r="N70" s="217">
        <v>22044.11</v>
      </c>
      <c r="O70" s="220">
        <v>25326.26</v>
      </c>
      <c r="P70" s="304">
        <v>23208.67</v>
      </c>
      <c r="Q70" s="172">
        <v>20754.04</v>
      </c>
      <c r="R70" s="8">
        <f t="shared" si="14"/>
        <v>250163.63000000003</v>
      </c>
      <c r="S70" s="1">
        <f t="shared" si="10"/>
        <v>12</v>
      </c>
      <c r="T70" s="31">
        <f t="shared" si="11"/>
        <v>20846.969166666669</v>
      </c>
      <c r="V70" s="321">
        <f t="shared" si="13"/>
        <v>0</v>
      </c>
      <c r="W70" s="321">
        <f t="shared" si="12"/>
        <v>0</v>
      </c>
      <c r="X70" s="321">
        <f t="shared" si="12"/>
        <v>0</v>
      </c>
      <c r="Y70" s="321">
        <f t="shared" si="12"/>
        <v>0</v>
      </c>
      <c r="Z70" s="321">
        <f t="shared" si="12"/>
        <v>0</v>
      </c>
      <c r="AA70" s="321">
        <f t="shared" si="12"/>
        <v>0</v>
      </c>
      <c r="AB70" s="321">
        <f t="shared" si="12"/>
        <v>0</v>
      </c>
      <c r="AC70" s="321">
        <f t="shared" si="12"/>
        <v>0</v>
      </c>
      <c r="AD70" s="321">
        <f t="shared" si="12"/>
        <v>0</v>
      </c>
      <c r="AE70" s="321">
        <f t="shared" si="12"/>
        <v>0</v>
      </c>
      <c r="AF70" s="321">
        <f t="shared" si="12"/>
        <v>125972.68000000001</v>
      </c>
      <c r="AG70" s="70">
        <f t="shared" si="15"/>
        <v>125972.68000000001</v>
      </c>
      <c r="AH70" s="321">
        <f t="shared" si="16"/>
        <v>125972.68000000001</v>
      </c>
      <c r="AI70" s="331">
        <f t="shared" si="17"/>
        <v>0</v>
      </c>
    </row>
    <row r="71" spans="1:35" ht="10.5">
      <c r="A71" s="1" t="s">
        <v>533</v>
      </c>
      <c r="B71" s="4">
        <v>7004800</v>
      </c>
      <c r="C71" s="4"/>
      <c r="D71" s="1" t="s">
        <v>283</v>
      </c>
      <c r="E71" s="1" t="s">
        <v>580</v>
      </c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8">
        <f t="shared" si="14"/>
        <v>0</v>
      </c>
      <c r="S71" s="1">
        <f t="shared" si="10"/>
        <v>0</v>
      </c>
      <c r="T71" s="31">
        <f t="shared" si="11"/>
        <v>0</v>
      </c>
      <c r="V71" s="321">
        <f t="shared" si="13"/>
        <v>0</v>
      </c>
      <c r="W71" s="321">
        <f t="shared" si="12"/>
        <v>0</v>
      </c>
      <c r="X71" s="321">
        <f t="shared" si="12"/>
        <v>0</v>
      </c>
      <c r="Y71" s="321">
        <f t="shared" si="12"/>
        <v>0</v>
      </c>
      <c r="Z71" s="321">
        <f t="shared" si="12"/>
        <v>0</v>
      </c>
      <c r="AA71" s="321">
        <f t="shared" si="12"/>
        <v>0</v>
      </c>
      <c r="AB71" s="321">
        <f t="shared" si="12"/>
        <v>0</v>
      </c>
      <c r="AC71" s="321">
        <f t="shared" si="12"/>
        <v>0</v>
      </c>
      <c r="AD71" s="321">
        <f t="shared" si="12"/>
        <v>0</v>
      </c>
      <c r="AE71" s="321">
        <f t="shared" si="12"/>
        <v>0</v>
      </c>
      <c r="AF71" s="321">
        <f t="shared" si="12"/>
        <v>0</v>
      </c>
      <c r="AG71" s="70">
        <f t="shared" si="15"/>
        <v>0</v>
      </c>
      <c r="AH71" s="321">
        <f t="shared" si="16"/>
        <v>0</v>
      </c>
      <c r="AI71" s="331">
        <f t="shared" si="17"/>
        <v>0</v>
      </c>
    </row>
    <row r="72" spans="1:35" ht="10.5">
      <c r="A72" s="1" t="s">
        <v>658</v>
      </c>
      <c r="B72" s="4">
        <v>7005200</v>
      </c>
      <c r="C72" s="4"/>
      <c r="D72" s="1" t="s">
        <v>284</v>
      </c>
      <c r="E72" s="1" t="s">
        <v>581</v>
      </c>
      <c r="F72" s="181">
        <v>5990.06</v>
      </c>
      <c r="G72" s="184">
        <v>4933.6499999999996</v>
      </c>
      <c r="H72" s="229">
        <v>7553.66</v>
      </c>
      <c r="I72" s="192">
        <v>8311.61</v>
      </c>
      <c r="J72" s="195">
        <v>8192.02</v>
      </c>
      <c r="K72" s="238">
        <v>6114.28</v>
      </c>
      <c r="L72" s="306">
        <v>5766.4</v>
      </c>
      <c r="M72" s="212">
        <v>6564.81</v>
      </c>
      <c r="N72" s="217">
        <v>7334.63</v>
      </c>
      <c r="O72" s="220">
        <v>7968.5</v>
      </c>
      <c r="P72" s="304">
        <v>7360.98</v>
      </c>
      <c r="Q72" s="172">
        <v>7751.85</v>
      </c>
      <c r="R72" s="8">
        <f t="shared" si="14"/>
        <v>83842.45</v>
      </c>
      <c r="S72" s="1">
        <f t="shared" si="10"/>
        <v>12</v>
      </c>
      <c r="T72" s="31">
        <f t="shared" si="11"/>
        <v>6986.8708333333334</v>
      </c>
      <c r="V72" s="321">
        <f t="shared" si="13"/>
        <v>0</v>
      </c>
      <c r="W72" s="321">
        <f t="shared" si="12"/>
        <v>0</v>
      </c>
      <c r="X72" s="321">
        <f t="shared" si="12"/>
        <v>0</v>
      </c>
      <c r="Y72" s="321">
        <f t="shared" si="12"/>
        <v>0</v>
      </c>
      <c r="Z72" s="321">
        <f t="shared" si="12"/>
        <v>0</v>
      </c>
      <c r="AA72" s="321">
        <f t="shared" si="12"/>
        <v>0</v>
      </c>
      <c r="AB72" s="321">
        <f t="shared" si="12"/>
        <v>0</v>
      </c>
      <c r="AC72" s="321">
        <f t="shared" si="12"/>
        <v>0</v>
      </c>
      <c r="AD72" s="321">
        <f t="shared" si="12"/>
        <v>41095.279999999999</v>
      </c>
      <c r="AE72" s="321">
        <f t="shared" si="12"/>
        <v>0</v>
      </c>
      <c r="AF72" s="321">
        <f t="shared" si="12"/>
        <v>0</v>
      </c>
      <c r="AG72" s="70">
        <f t="shared" si="15"/>
        <v>41095.279999999999</v>
      </c>
      <c r="AH72" s="321">
        <f t="shared" si="16"/>
        <v>41095.279999999999</v>
      </c>
      <c r="AI72" s="331">
        <f t="shared" si="17"/>
        <v>0</v>
      </c>
    </row>
    <row r="73" spans="1:35" ht="10.5">
      <c r="A73" s="1" t="s">
        <v>705</v>
      </c>
      <c r="B73" s="4">
        <v>7004900</v>
      </c>
      <c r="C73" s="4">
        <v>120</v>
      </c>
      <c r="D73" s="1" t="s">
        <v>393</v>
      </c>
      <c r="E73" s="1" t="s">
        <v>393</v>
      </c>
      <c r="F73" s="181">
        <v>320.7</v>
      </c>
      <c r="G73" s="184">
        <v>322.5</v>
      </c>
      <c r="H73" s="229">
        <v>418.2</v>
      </c>
      <c r="I73" s="192">
        <v>402.05</v>
      </c>
      <c r="J73" s="195">
        <v>451.35</v>
      </c>
      <c r="K73" s="238">
        <v>413.95</v>
      </c>
      <c r="L73" s="306">
        <v>459.43</v>
      </c>
      <c r="M73" s="212">
        <v>444.81</v>
      </c>
      <c r="N73" s="217">
        <v>480.25</v>
      </c>
      <c r="O73" s="220">
        <v>491.3</v>
      </c>
      <c r="P73" s="304">
        <v>482.38</v>
      </c>
      <c r="Q73" s="172">
        <v>503.2</v>
      </c>
      <c r="R73" s="8">
        <f t="shared" si="14"/>
        <v>5190.12</v>
      </c>
      <c r="S73" s="1">
        <f t="shared" si="10"/>
        <v>12</v>
      </c>
      <c r="T73" s="31">
        <f t="shared" si="11"/>
        <v>432.51</v>
      </c>
      <c r="V73" s="321">
        <f t="shared" si="13"/>
        <v>0</v>
      </c>
      <c r="W73" s="321">
        <f t="shared" si="12"/>
        <v>0</v>
      </c>
      <c r="X73" s="321">
        <f t="shared" si="12"/>
        <v>0</v>
      </c>
      <c r="Y73" s="321">
        <f t="shared" si="12"/>
        <v>0</v>
      </c>
      <c r="Z73" s="321">
        <f t="shared" si="12"/>
        <v>0</v>
      </c>
      <c r="AA73" s="321">
        <f t="shared" si="12"/>
        <v>0</v>
      </c>
      <c r="AB73" s="321">
        <f t="shared" si="12"/>
        <v>0</v>
      </c>
      <c r="AC73" s="321">
        <f t="shared" si="12"/>
        <v>0</v>
      </c>
      <c r="AD73" s="321">
        <f t="shared" si="12"/>
        <v>0</v>
      </c>
      <c r="AE73" s="321">
        <f t="shared" si="12"/>
        <v>0</v>
      </c>
      <c r="AF73" s="321">
        <f t="shared" si="12"/>
        <v>2328.75</v>
      </c>
      <c r="AG73" s="70">
        <f t="shared" si="15"/>
        <v>2328.75</v>
      </c>
      <c r="AH73" s="321">
        <f t="shared" si="16"/>
        <v>2328.75</v>
      </c>
      <c r="AI73" s="331">
        <f t="shared" si="17"/>
        <v>0</v>
      </c>
    </row>
    <row r="74" spans="1:35" ht="10.5">
      <c r="A74" s="1" t="s">
        <v>658</v>
      </c>
      <c r="B74" s="4">
        <v>15058010</v>
      </c>
      <c r="C74" s="4"/>
      <c r="D74" s="1" t="s">
        <v>715</v>
      </c>
      <c r="E74" s="1" t="s">
        <v>715</v>
      </c>
      <c r="F74" s="180"/>
      <c r="G74" s="185"/>
      <c r="H74" s="233"/>
      <c r="I74" s="193"/>
      <c r="J74" s="196"/>
      <c r="K74" s="240"/>
      <c r="L74" s="307"/>
      <c r="M74" s="211"/>
      <c r="N74" s="218"/>
      <c r="O74" s="222"/>
      <c r="P74" s="304">
        <v>31222.13</v>
      </c>
      <c r="Q74" s="172">
        <v>25434.69</v>
      </c>
      <c r="R74" s="8">
        <f t="shared" si="14"/>
        <v>56656.82</v>
      </c>
      <c r="T74" s="31" t="e">
        <f t="shared" si="11"/>
        <v>#DIV/0!</v>
      </c>
      <c r="V74" s="321">
        <f t="shared" si="13"/>
        <v>0</v>
      </c>
      <c r="W74" s="321">
        <f t="shared" si="12"/>
        <v>0</v>
      </c>
      <c r="X74" s="321">
        <f t="shared" si="12"/>
        <v>0</v>
      </c>
      <c r="Y74" s="321">
        <f t="shared" si="12"/>
        <v>0</v>
      </c>
      <c r="Z74" s="321">
        <f t="shared" si="12"/>
        <v>0</v>
      </c>
      <c r="AA74" s="321">
        <f t="shared" si="12"/>
        <v>0</v>
      </c>
      <c r="AB74" s="321">
        <f t="shared" si="12"/>
        <v>0</v>
      </c>
      <c r="AC74" s="321">
        <f t="shared" si="12"/>
        <v>0</v>
      </c>
      <c r="AD74" s="321">
        <f t="shared" si="12"/>
        <v>0</v>
      </c>
      <c r="AE74" s="321">
        <f t="shared" si="12"/>
        <v>0</v>
      </c>
      <c r="AF74" s="321">
        <f t="shared" si="12"/>
        <v>0</v>
      </c>
      <c r="AG74" s="70">
        <f t="shared" si="15"/>
        <v>0</v>
      </c>
      <c r="AH74" s="321">
        <f t="shared" si="16"/>
        <v>0</v>
      </c>
      <c r="AI74" s="331">
        <f t="shared" si="17"/>
        <v>0</v>
      </c>
    </row>
    <row r="75" spans="1:35" ht="10.5">
      <c r="A75" s="1" t="s">
        <v>659</v>
      </c>
      <c r="B75" s="4">
        <v>15054341</v>
      </c>
      <c r="C75" s="4"/>
      <c r="D75" s="1" t="s">
        <v>669</v>
      </c>
      <c r="E75" s="1" t="s">
        <v>502</v>
      </c>
      <c r="F75" s="181">
        <v>4545.07</v>
      </c>
      <c r="G75" s="184">
        <v>3781.83</v>
      </c>
      <c r="H75" s="229">
        <v>5156.6899999999996</v>
      </c>
      <c r="I75" s="192">
        <v>5976.07</v>
      </c>
      <c r="J75" s="195">
        <v>4517.4399999999996</v>
      </c>
      <c r="K75" s="238">
        <v>3367.33</v>
      </c>
      <c r="L75" s="306">
        <v>3304.82</v>
      </c>
      <c r="M75" s="212">
        <v>3482.49</v>
      </c>
      <c r="N75" s="217">
        <v>4598.66</v>
      </c>
      <c r="O75" s="220">
        <v>6355.53</v>
      </c>
      <c r="P75" s="304">
        <v>5323.34</v>
      </c>
      <c r="Q75" s="172">
        <v>4936.96</v>
      </c>
      <c r="R75" s="8">
        <f t="shared" si="14"/>
        <v>55346.229999999989</v>
      </c>
      <c r="S75" s="1">
        <f t="shared" si="10"/>
        <v>12</v>
      </c>
      <c r="T75" s="31">
        <f t="shared" si="11"/>
        <v>4612.1858333333321</v>
      </c>
      <c r="V75" s="321">
        <f t="shared" si="13"/>
        <v>0</v>
      </c>
      <c r="W75" s="321">
        <f t="shared" si="12"/>
        <v>0</v>
      </c>
      <c r="X75" s="321">
        <f t="shared" si="12"/>
        <v>0</v>
      </c>
      <c r="Y75" s="321">
        <f t="shared" si="12"/>
        <v>0</v>
      </c>
      <c r="Z75" s="321">
        <f t="shared" si="12"/>
        <v>0</v>
      </c>
      <c r="AA75" s="321">
        <f t="shared" si="12"/>
        <v>0</v>
      </c>
      <c r="AB75" s="321">
        <f t="shared" si="12"/>
        <v>0</v>
      </c>
      <c r="AC75" s="321">
        <f t="shared" si="12"/>
        <v>27344.43</v>
      </c>
      <c r="AD75" s="321">
        <f t="shared" si="12"/>
        <v>0</v>
      </c>
      <c r="AE75" s="321">
        <f t="shared" si="12"/>
        <v>0</v>
      </c>
      <c r="AF75" s="321">
        <f t="shared" si="12"/>
        <v>0</v>
      </c>
      <c r="AG75" s="70">
        <f t="shared" si="15"/>
        <v>27344.43</v>
      </c>
      <c r="AH75" s="321">
        <f t="shared" si="16"/>
        <v>27344.43</v>
      </c>
      <c r="AI75" s="331">
        <f t="shared" si="17"/>
        <v>0</v>
      </c>
    </row>
    <row r="76" spans="1:35" ht="10.5">
      <c r="A76" s="1" t="s">
        <v>530</v>
      </c>
      <c r="B76" s="4">
        <v>15036275</v>
      </c>
      <c r="C76" s="4"/>
      <c r="D76" s="1" t="s">
        <v>645</v>
      </c>
      <c r="E76" s="1" t="s">
        <v>590</v>
      </c>
      <c r="F76" s="181">
        <v>15433.91</v>
      </c>
      <c r="G76" s="184">
        <v>13860.21</v>
      </c>
      <c r="H76" s="229">
        <v>17302.2</v>
      </c>
      <c r="I76" s="192">
        <v>24203.26</v>
      </c>
      <c r="J76" s="195">
        <v>16596.41</v>
      </c>
      <c r="K76" s="238">
        <v>11844.52</v>
      </c>
      <c r="L76" s="306">
        <v>14015.38</v>
      </c>
      <c r="M76" s="212">
        <v>13408.4</v>
      </c>
      <c r="N76" s="217">
        <v>19510.14</v>
      </c>
      <c r="O76" s="220">
        <v>23876.080000000002</v>
      </c>
      <c r="P76" s="304">
        <v>22750.93</v>
      </c>
      <c r="Q76" s="172">
        <v>20211.939999999999</v>
      </c>
      <c r="R76" s="8">
        <f t="shared" si="14"/>
        <v>213013.38</v>
      </c>
      <c r="S76" s="1">
        <f t="shared" si="10"/>
        <v>12</v>
      </c>
      <c r="T76" s="31">
        <f t="shared" si="11"/>
        <v>17751.115000000002</v>
      </c>
      <c r="V76" s="321">
        <f t="shared" si="13"/>
        <v>0</v>
      </c>
      <c r="W76" s="321">
        <f t="shared" si="12"/>
        <v>0</v>
      </c>
      <c r="X76" s="321">
        <f t="shared" si="12"/>
        <v>0</v>
      </c>
      <c r="Y76" s="321">
        <f t="shared" si="12"/>
        <v>99240.510000000009</v>
      </c>
      <c r="Z76" s="321">
        <f t="shared" si="12"/>
        <v>0</v>
      </c>
      <c r="AA76" s="321">
        <f t="shared" si="12"/>
        <v>0</v>
      </c>
      <c r="AB76" s="321">
        <f t="shared" si="12"/>
        <v>0</v>
      </c>
      <c r="AC76" s="321">
        <f t="shared" si="12"/>
        <v>0</v>
      </c>
      <c r="AD76" s="321">
        <f t="shared" si="12"/>
        <v>0</v>
      </c>
      <c r="AE76" s="321">
        <f t="shared" si="12"/>
        <v>0</v>
      </c>
      <c r="AF76" s="321">
        <f t="shared" si="12"/>
        <v>0</v>
      </c>
      <c r="AG76" s="70">
        <f t="shared" si="15"/>
        <v>99240.510000000009</v>
      </c>
      <c r="AH76" s="321">
        <f t="shared" si="16"/>
        <v>99240.510000000009</v>
      </c>
      <c r="AI76" s="331">
        <f t="shared" si="17"/>
        <v>0</v>
      </c>
    </row>
    <row r="77" spans="1:35" ht="10.5">
      <c r="A77" s="1" t="s">
        <v>664</v>
      </c>
      <c r="B77" s="42">
        <v>7007701</v>
      </c>
      <c r="C77" s="42">
        <v>122</v>
      </c>
      <c r="D77" s="11" t="s">
        <v>98</v>
      </c>
      <c r="E77" s="11" t="s">
        <v>98</v>
      </c>
      <c r="F77" s="181">
        <v>9455.76</v>
      </c>
      <c r="G77" s="184">
        <v>8683.5</v>
      </c>
      <c r="H77" s="229">
        <v>12363</v>
      </c>
      <c r="I77" s="192">
        <v>16514.14</v>
      </c>
      <c r="J77" s="195">
        <v>12186.98</v>
      </c>
      <c r="K77" s="238">
        <v>7413.96</v>
      </c>
      <c r="L77" s="306">
        <v>8859.0400000000009</v>
      </c>
      <c r="M77" s="212">
        <v>9249.19</v>
      </c>
      <c r="N77" s="217">
        <v>12803.13</v>
      </c>
      <c r="O77" s="220">
        <v>14894.38</v>
      </c>
      <c r="P77" s="304">
        <v>14914.1</v>
      </c>
      <c r="Q77" s="172">
        <v>11003.83</v>
      </c>
      <c r="R77" s="8">
        <f t="shared" ref="R77:R104" si="18">+SUM(F77:Q77)</f>
        <v>138341.01</v>
      </c>
      <c r="S77" s="1">
        <f t="shared" ref="S77:S104" si="19">COUNT(F77:Q77)</f>
        <v>12</v>
      </c>
      <c r="T77" s="32">
        <f t="shared" ref="T77:T104" si="20">+IF(R77=0,0,R77/S77)</f>
        <v>11528.417500000001</v>
      </c>
      <c r="V77" s="321">
        <f t="shared" si="13"/>
        <v>0</v>
      </c>
      <c r="W77" s="321">
        <f t="shared" si="12"/>
        <v>0</v>
      </c>
      <c r="X77" s="321">
        <f t="shared" si="12"/>
        <v>0</v>
      </c>
      <c r="Y77" s="321">
        <f t="shared" si="12"/>
        <v>0</v>
      </c>
      <c r="Z77" s="321">
        <f t="shared" si="12"/>
        <v>0</v>
      </c>
      <c r="AA77" s="321">
        <f t="shared" si="12"/>
        <v>0</v>
      </c>
      <c r="AB77" s="321">
        <f t="shared" si="12"/>
        <v>0</v>
      </c>
      <c r="AC77" s="321">
        <f t="shared" si="12"/>
        <v>0</v>
      </c>
      <c r="AD77" s="321">
        <f t="shared" si="12"/>
        <v>0</v>
      </c>
      <c r="AE77" s="321">
        <f t="shared" si="12"/>
        <v>66617.340000000011</v>
      </c>
      <c r="AF77" s="321">
        <f t="shared" si="12"/>
        <v>0</v>
      </c>
      <c r="AG77" s="70">
        <f t="shared" si="15"/>
        <v>66617.340000000011</v>
      </c>
      <c r="AH77" s="321">
        <f t="shared" si="16"/>
        <v>66617.340000000011</v>
      </c>
      <c r="AI77" s="331">
        <f t="shared" si="17"/>
        <v>0</v>
      </c>
    </row>
    <row r="78" spans="1:35" ht="10.5">
      <c r="A78" s="1" t="s">
        <v>533</v>
      </c>
      <c r="B78" s="42">
        <v>15055141</v>
      </c>
      <c r="C78" s="42"/>
      <c r="D78" s="11" t="s">
        <v>695</v>
      </c>
      <c r="E78" s="11" t="s">
        <v>695</v>
      </c>
      <c r="F78" s="180"/>
      <c r="G78" s="184">
        <v>2106.17</v>
      </c>
      <c r="H78" s="229">
        <v>9220.92</v>
      </c>
      <c r="I78" s="192">
        <v>9841.0300000000007</v>
      </c>
      <c r="J78" s="195">
        <v>7857.62</v>
      </c>
      <c r="K78" s="238">
        <v>9093.91</v>
      </c>
      <c r="L78" s="306">
        <v>8529.5400000000009</v>
      </c>
      <c r="M78" s="212">
        <v>8976.4500000000007</v>
      </c>
      <c r="N78" s="217">
        <v>9731.0499999999993</v>
      </c>
      <c r="O78" s="220">
        <v>10064.209999999999</v>
      </c>
      <c r="P78" s="304">
        <v>9640.68</v>
      </c>
      <c r="Q78" s="172">
        <v>9682.0300000000007</v>
      </c>
      <c r="R78" s="8">
        <f>+SUM(F78:Q78)</f>
        <v>94743.609999999986</v>
      </c>
      <c r="S78" s="1">
        <f>COUNT(F78:Q78)</f>
        <v>11</v>
      </c>
      <c r="T78" s="32">
        <f>+IF(R78=0,0,R78/S78)</f>
        <v>8613.0554545454524</v>
      </c>
      <c r="V78" s="321">
        <f t="shared" si="13"/>
        <v>0</v>
      </c>
      <c r="W78" s="321">
        <f t="shared" si="12"/>
        <v>0</v>
      </c>
      <c r="X78" s="321">
        <f t="shared" si="12"/>
        <v>0</v>
      </c>
      <c r="Y78" s="321">
        <f t="shared" si="12"/>
        <v>0</v>
      </c>
      <c r="Z78" s="321">
        <f t="shared" si="12"/>
        <v>0</v>
      </c>
      <c r="AA78" s="321">
        <f t="shared" si="12"/>
        <v>0</v>
      </c>
      <c r="AB78" s="321">
        <f t="shared" si="12"/>
        <v>38119.65</v>
      </c>
      <c r="AC78" s="321">
        <f t="shared" si="12"/>
        <v>0</v>
      </c>
      <c r="AD78" s="321">
        <f t="shared" si="12"/>
        <v>0</v>
      </c>
      <c r="AE78" s="321">
        <f t="shared" si="12"/>
        <v>0</v>
      </c>
      <c r="AF78" s="321">
        <f t="shared" si="12"/>
        <v>0</v>
      </c>
      <c r="AG78" s="70">
        <f t="shared" si="15"/>
        <v>38119.65</v>
      </c>
      <c r="AH78" s="321">
        <f t="shared" si="16"/>
        <v>38119.65</v>
      </c>
      <c r="AI78" s="331">
        <f t="shared" si="17"/>
        <v>0</v>
      </c>
    </row>
    <row r="79" spans="1:35" s="17" customFormat="1" ht="10.5">
      <c r="A79" s="1" t="s">
        <v>705</v>
      </c>
      <c r="B79" s="290">
        <v>15051483</v>
      </c>
      <c r="C79" s="289"/>
      <c r="D79" s="4" t="s">
        <v>638</v>
      </c>
      <c r="E79" s="4" t="s">
        <v>665</v>
      </c>
      <c r="F79" s="181">
        <v>32.11</v>
      </c>
      <c r="G79" s="32"/>
      <c r="H79" s="32"/>
      <c r="I79" s="322"/>
      <c r="J79" s="322"/>
      <c r="K79" s="323"/>
      <c r="L79" s="324"/>
      <c r="M79" s="324"/>
      <c r="N79" s="324"/>
      <c r="O79" s="324"/>
      <c r="P79" s="324"/>
      <c r="Q79" s="324"/>
      <c r="R79" s="8">
        <f>+SUM(F79:Q79)</f>
        <v>32.11</v>
      </c>
      <c r="S79" s="1">
        <f>COUNT(F79:Q79)</f>
        <v>1</v>
      </c>
      <c r="T79" s="32">
        <f>+IF(R79=0,0,R79/S79)</f>
        <v>32.11</v>
      </c>
      <c r="V79" s="321">
        <f t="shared" si="13"/>
        <v>0</v>
      </c>
      <c r="W79" s="321">
        <f t="shared" si="12"/>
        <v>0</v>
      </c>
      <c r="X79" s="321">
        <f t="shared" si="12"/>
        <v>0</v>
      </c>
      <c r="Y79" s="321">
        <f t="shared" si="12"/>
        <v>0</v>
      </c>
      <c r="Z79" s="321">
        <f t="shared" si="12"/>
        <v>0</v>
      </c>
      <c r="AA79" s="321">
        <f t="shared" si="12"/>
        <v>0</v>
      </c>
      <c r="AB79" s="321">
        <f t="shared" si="12"/>
        <v>0</v>
      </c>
      <c r="AC79" s="321">
        <f t="shared" si="12"/>
        <v>0</v>
      </c>
      <c r="AD79" s="321">
        <f t="shared" si="12"/>
        <v>0</v>
      </c>
      <c r="AE79" s="321">
        <f t="shared" si="12"/>
        <v>0</v>
      </c>
      <c r="AF79" s="321">
        <f t="shared" si="12"/>
        <v>32.11</v>
      </c>
      <c r="AG79" s="70">
        <f t="shared" si="15"/>
        <v>32.11</v>
      </c>
      <c r="AH79" s="321">
        <f t="shared" si="16"/>
        <v>32.11</v>
      </c>
      <c r="AI79" s="331">
        <f t="shared" si="17"/>
        <v>0</v>
      </c>
    </row>
    <row r="80" spans="1:35" s="17" customFormat="1" ht="10.5">
      <c r="A80" s="1" t="s">
        <v>705</v>
      </c>
      <c r="B80" s="290">
        <v>15055434</v>
      </c>
      <c r="C80" s="289"/>
      <c r="D80" s="4" t="s">
        <v>709</v>
      </c>
      <c r="E80" s="4" t="s">
        <v>709</v>
      </c>
      <c r="F80" s="180"/>
      <c r="G80" s="185"/>
      <c r="H80" s="233"/>
      <c r="I80" s="238">
        <v>65.12</v>
      </c>
      <c r="J80" s="32"/>
      <c r="K80" s="323"/>
      <c r="L80" s="324"/>
      <c r="M80" s="324"/>
      <c r="N80" s="324"/>
      <c r="O80" s="324"/>
      <c r="P80" s="324"/>
      <c r="Q80" s="324"/>
      <c r="R80" s="8">
        <f>+SUM(F80:Q80)</f>
        <v>65.12</v>
      </c>
      <c r="S80" s="1">
        <f>COUNT(F80:Q80)</f>
        <v>1</v>
      </c>
      <c r="T80" s="32">
        <f>+IF(R80=0,0,R80/S80)</f>
        <v>65.12</v>
      </c>
      <c r="V80" s="321">
        <f t="shared" si="13"/>
        <v>0</v>
      </c>
      <c r="W80" s="321">
        <f t="shared" si="12"/>
        <v>0</v>
      </c>
      <c r="X80" s="321">
        <f t="shared" si="12"/>
        <v>0</v>
      </c>
      <c r="Y80" s="321">
        <f t="shared" si="12"/>
        <v>0</v>
      </c>
      <c r="Z80" s="321">
        <f t="shared" si="12"/>
        <v>0</v>
      </c>
      <c r="AA80" s="321">
        <f t="shared" si="12"/>
        <v>0</v>
      </c>
      <c r="AB80" s="321">
        <f t="shared" si="12"/>
        <v>0</v>
      </c>
      <c r="AC80" s="321">
        <f t="shared" si="12"/>
        <v>0</v>
      </c>
      <c r="AD80" s="321">
        <f t="shared" si="12"/>
        <v>0</v>
      </c>
      <c r="AE80" s="321">
        <f t="shared" si="12"/>
        <v>0</v>
      </c>
      <c r="AF80" s="321">
        <f t="shared" si="12"/>
        <v>65.12</v>
      </c>
      <c r="AG80" s="70">
        <f t="shared" si="15"/>
        <v>65.12</v>
      </c>
      <c r="AH80" s="321">
        <f t="shared" si="16"/>
        <v>65.12</v>
      </c>
      <c r="AI80" s="331">
        <f t="shared" si="17"/>
        <v>0</v>
      </c>
    </row>
    <row r="81" spans="1:35" s="17" customFormat="1" ht="10.5">
      <c r="A81" s="1" t="s">
        <v>539</v>
      </c>
      <c r="B81" s="4">
        <v>15002216</v>
      </c>
      <c r="C81" s="4"/>
      <c r="D81" s="1" t="s">
        <v>329</v>
      </c>
      <c r="E81" s="1" t="s">
        <v>329</v>
      </c>
      <c r="F81" s="32"/>
      <c r="G81" s="32"/>
      <c r="H81" s="32"/>
      <c r="I81" s="192">
        <v>86.19</v>
      </c>
      <c r="J81" s="32"/>
      <c r="K81" s="32"/>
      <c r="L81" s="32"/>
      <c r="M81" s="32"/>
      <c r="N81" s="32"/>
      <c r="O81" s="32"/>
      <c r="P81" s="32"/>
      <c r="Q81" s="32"/>
      <c r="R81" s="8">
        <f t="shared" si="18"/>
        <v>86.19</v>
      </c>
      <c r="S81" s="1">
        <f t="shared" si="19"/>
        <v>1</v>
      </c>
      <c r="T81" s="32">
        <f t="shared" si="20"/>
        <v>86.19</v>
      </c>
      <c r="V81" s="321">
        <f t="shared" si="13"/>
        <v>86.19</v>
      </c>
      <c r="W81" s="321">
        <f t="shared" si="12"/>
        <v>0</v>
      </c>
      <c r="X81" s="321">
        <f t="shared" si="12"/>
        <v>0</v>
      </c>
      <c r="Y81" s="321">
        <f t="shared" si="12"/>
        <v>0</v>
      </c>
      <c r="Z81" s="321">
        <f t="shared" si="12"/>
        <v>0</v>
      </c>
      <c r="AA81" s="321">
        <f t="shared" si="12"/>
        <v>0</v>
      </c>
      <c r="AB81" s="321">
        <f t="shared" si="12"/>
        <v>0</v>
      </c>
      <c r="AC81" s="321">
        <f t="shared" si="12"/>
        <v>0</v>
      </c>
      <c r="AD81" s="321">
        <f t="shared" si="12"/>
        <v>0</v>
      </c>
      <c r="AE81" s="321">
        <f t="shared" si="12"/>
        <v>0</v>
      </c>
      <c r="AF81" s="321">
        <f t="shared" si="12"/>
        <v>0</v>
      </c>
      <c r="AG81" s="70">
        <f t="shared" si="15"/>
        <v>86.19</v>
      </c>
      <c r="AH81" s="321">
        <f t="shared" si="16"/>
        <v>86.19</v>
      </c>
      <c r="AI81" s="331">
        <f t="shared" si="17"/>
        <v>0</v>
      </c>
    </row>
    <row r="82" spans="1:35" ht="10.5">
      <c r="A82" s="1" t="s">
        <v>705</v>
      </c>
      <c r="B82" s="4">
        <v>15037912</v>
      </c>
      <c r="C82" s="4"/>
      <c r="D82" s="1" t="s">
        <v>692</v>
      </c>
      <c r="E82" s="1" t="s">
        <v>584</v>
      </c>
      <c r="F82" s="181">
        <v>109.21</v>
      </c>
      <c r="G82" s="184">
        <v>187.26</v>
      </c>
      <c r="H82" s="229">
        <v>170.61</v>
      </c>
      <c r="I82" s="192">
        <v>293.75</v>
      </c>
      <c r="J82" s="195">
        <v>163.4</v>
      </c>
      <c r="K82" s="238">
        <v>213.89</v>
      </c>
      <c r="L82" s="306">
        <v>114.58</v>
      </c>
      <c r="M82" s="212">
        <v>225.86</v>
      </c>
      <c r="N82" s="217">
        <v>486.02</v>
      </c>
      <c r="O82" s="220">
        <v>246.19</v>
      </c>
      <c r="P82" s="304">
        <v>249.04</v>
      </c>
      <c r="Q82" s="172">
        <v>261.77</v>
      </c>
      <c r="R82" s="8">
        <f t="shared" si="18"/>
        <v>2721.58</v>
      </c>
      <c r="S82" s="1">
        <f t="shared" si="19"/>
        <v>12</v>
      </c>
      <c r="T82" s="32">
        <f t="shared" si="20"/>
        <v>226.79833333333332</v>
      </c>
      <c r="V82" s="321">
        <f t="shared" si="13"/>
        <v>0</v>
      </c>
      <c r="W82" s="321">
        <f t="shared" si="12"/>
        <v>0</v>
      </c>
      <c r="X82" s="321">
        <f t="shared" si="12"/>
        <v>0</v>
      </c>
      <c r="Y82" s="321">
        <f t="shared" si="12"/>
        <v>0</v>
      </c>
      <c r="Z82" s="321">
        <f t="shared" si="12"/>
        <v>0</v>
      </c>
      <c r="AA82" s="321">
        <f t="shared" si="12"/>
        <v>0</v>
      </c>
      <c r="AB82" s="321">
        <f t="shared" si="12"/>
        <v>0</v>
      </c>
      <c r="AC82" s="321">
        <f t="shared" si="12"/>
        <v>0</v>
      </c>
      <c r="AD82" s="321">
        <f t="shared" si="12"/>
        <v>0</v>
      </c>
      <c r="AE82" s="321">
        <f t="shared" si="12"/>
        <v>0</v>
      </c>
      <c r="AF82" s="321">
        <f t="shared" si="12"/>
        <v>1138.1199999999999</v>
      </c>
      <c r="AG82" s="70">
        <f t="shared" si="15"/>
        <v>1138.1199999999999</v>
      </c>
      <c r="AH82" s="321">
        <f t="shared" si="16"/>
        <v>1138.1199999999999</v>
      </c>
      <c r="AI82" s="331">
        <f t="shared" si="17"/>
        <v>0</v>
      </c>
    </row>
    <row r="83" spans="1:35" ht="10.5">
      <c r="A83" s="1" t="s">
        <v>705</v>
      </c>
      <c r="B83" s="4">
        <v>15033786</v>
      </c>
      <c r="C83" s="4"/>
      <c r="D83" s="1" t="s">
        <v>563</v>
      </c>
      <c r="E83" s="1" t="s">
        <v>563</v>
      </c>
      <c r="F83" s="181">
        <v>0</v>
      </c>
      <c r="G83" s="184">
        <v>0</v>
      </c>
      <c r="H83" s="229">
        <v>0</v>
      </c>
      <c r="I83" s="192">
        <v>0</v>
      </c>
      <c r="J83" s="195">
        <v>0</v>
      </c>
      <c r="K83" s="195">
        <v>6094.5</v>
      </c>
      <c r="L83" s="32"/>
      <c r="M83" s="212">
        <v>34</v>
      </c>
      <c r="N83" s="172">
        <v>737.43</v>
      </c>
      <c r="O83" s="172">
        <v>2348.1799999999998</v>
      </c>
      <c r="P83" s="172">
        <v>2150.5500000000002</v>
      </c>
      <c r="Q83" s="181">
        <v>1561.92</v>
      </c>
      <c r="R83" s="8">
        <f t="shared" si="18"/>
        <v>12926.58</v>
      </c>
      <c r="S83" s="1">
        <f t="shared" si="19"/>
        <v>11</v>
      </c>
      <c r="T83" s="32">
        <f t="shared" si="20"/>
        <v>1175.1436363636365</v>
      </c>
      <c r="V83" s="321">
        <f t="shared" si="13"/>
        <v>0</v>
      </c>
      <c r="W83" s="321">
        <f t="shared" si="12"/>
        <v>0</v>
      </c>
      <c r="X83" s="321">
        <f t="shared" si="12"/>
        <v>0</v>
      </c>
      <c r="Y83" s="321">
        <f t="shared" si="12"/>
        <v>0</v>
      </c>
      <c r="Z83" s="321">
        <f t="shared" si="12"/>
        <v>0</v>
      </c>
      <c r="AA83" s="321">
        <f t="shared" si="12"/>
        <v>0</v>
      </c>
      <c r="AB83" s="321">
        <f t="shared" si="12"/>
        <v>0</v>
      </c>
      <c r="AC83" s="321">
        <f t="shared" ref="W83:AF104" si="21">+IF($A83=AC$1,SUM($F83:$K83),0)</f>
        <v>0</v>
      </c>
      <c r="AD83" s="321">
        <f t="shared" si="21"/>
        <v>0</v>
      </c>
      <c r="AE83" s="321">
        <f t="shared" si="21"/>
        <v>0</v>
      </c>
      <c r="AF83" s="321">
        <f t="shared" si="21"/>
        <v>6094.5</v>
      </c>
      <c r="AG83" s="70">
        <f t="shared" si="15"/>
        <v>6094.5</v>
      </c>
      <c r="AH83" s="321">
        <f t="shared" si="16"/>
        <v>6094.5</v>
      </c>
      <c r="AI83" s="331">
        <f t="shared" si="17"/>
        <v>0</v>
      </c>
    </row>
    <row r="84" spans="1:35" ht="10.5">
      <c r="A84" s="1" t="s">
        <v>705</v>
      </c>
      <c r="B84" s="4">
        <v>15029987</v>
      </c>
      <c r="C84" s="4"/>
      <c r="D84" s="1" t="s">
        <v>690</v>
      </c>
      <c r="E84" s="1" t="s">
        <v>619</v>
      </c>
      <c r="F84" s="181">
        <v>408.21</v>
      </c>
      <c r="G84" s="184">
        <v>515.79</v>
      </c>
      <c r="H84" s="229">
        <v>344.86</v>
      </c>
      <c r="I84" s="192">
        <v>782</v>
      </c>
      <c r="J84" s="195">
        <v>424.58</v>
      </c>
      <c r="K84" s="238">
        <v>158.53</v>
      </c>
      <c r="L84" s="306">
        <v>42.5</v>
      </c>
      <c r="M84" s="212">
        <v>25.5</v>
      </c>
      <c r="N84" s="217">
        <v>57.38</v>
      </c>
      <c r="O84" s="220">
        <v>819.28</v>
      </c>
      <c r="P84" s="304">
        <v>711.88</v>
      </c>
      <c r="Q84" s="172">
        <v>472.96</v>
      </c>
      <c r="R84" s="8">
        <f t="shared" si="18"/>
        <v>4763.47</v>
      </c>
      <c r="S84" s="1">
        <f t="shared" si="19"/>
        <v>12</v>
      </c>
      <c r="T84" s="32">
        <f t="shared" si="20"/>
        <v>396.95583333333337</v>
      </c>
      <c r="V84" s="321">
        <f t="shared" si="13"/>
        <v>0</v>
      </c>
      <c r="W84" s="321">
        <f t="shared" si="21"/>
        <v>0</v>
      </c>
      <c r="X84" s="321">
        <f t="shared" si="21"/>
        <v>0</v>
      </c>
      <c r="Y84" s="321">
        <f t="shared" si="21"/>
        <v>0</v>
      </c>
      <c r="Z84" s="321">
        <f t="shared" si="21"/>
        <v>0</v>
      </c>
      <c r="AA84" s="321">
        <f t="shared" si="21"/>
        <v>0</v>
      </c>
      <c r="AB84" s="321">
        <f t="shared" si="21"/>
        <v>0</v>
      </c>
      <c r="AC84" s="321">
        <f t="shared" si="21"/>
        <v>0</v>
      </c>
      <c r="AD84" s="321">
        <f t="shared" si="21"/>
        <v>0</v>
      </c>
      <c r="AE84" s="321">
        <f t="shared" si="21"/>
        <v>0</v>
      </c>
      <c r="AF84" s="321">
        <f t="shared" si="21"/>
        <v>2633.9700000000003</v>
      </c>
      <c r="AG84" s="70">
        <f t="shared" si="15"/>
        <v>2633.9700000000003</v>
      </c>
      <c r="AH84" s="321">
        <f t="shared" si="16"/>
        <v>2633.9700000000003</v>
      </c>
      <c r="AI84" s="331">
        <f t="shared" si="17"/>
        <v>0</v>
      </c>
    </row>
    <row r="85" spans="1:35" ht="10.5">
      <c r="A85" s="1" t="s">
        <v>705</v>
      </c>
      <c r="B85" s="4">
        <v>15053151</v>
      </c>
      <c r="C85" s="4"/>
      <c r="D85" s="1" t="s">
        <v>714</v>
      </c>
      <c r="E85" s="1" t="s">
        <v>714</v>
      </c>
      <c r="F85" s="180"/>
      <c r="G85" s="185"/>
      <c r="H85" s="233"/>
      <c r="I85" s="304">
        <v>381.02</v>
      </c>
      <c r="J85" s="304">
        <v>297.5</v>
      </c>
      <c r="K85" s="304">
        <v>319.8</v>
      </c>
      <c r="L85" s="304">
        <v>75.680000000000007</v>
      </c>
      <c r="M85" s="304">
        <v>214.01</v>
      </c>
      <c r="N85" s="304">
        <v>165.59</v>
      </c>
      <c r="O85" s="304">
        <v>275.92</v>
      </c>
      <c r="P85" s="304">
        <v>322.75</v>
      </c>
      <c r="Q85" s="172">
        <v>626.11</v>
      </c>
      <c r="R85" s="8">
        <f>+SUM(F85:Q85)</f>
        <v>2678.38</v>
      </c>
      <c r="S85" s="1">
        <f>COUNT(F85:Q85)</f>
        <v>9</v>
      </c>
      <c r="T85" s="32">
        <f>+IF(R85=0,0,R85/S85)</f>
        <v>297.59777777777776</v>
      </c>
      <c r="V85" s="321">
        <f t="shared" si="13"/>
        <v>0</v>
      </c>
      <c r="W85" s="321">
        <f t="shared" si="21"/>
        <v>0</v>
      </c>
      <c r="X85" s="321">
        <f t="shared" si="21"/>
        <v>0</v>
      </c>
      <c r="Y85" s="321">
        <f t="shared" si="21"/>
        <v>0</v>
      </c>
      <c r="Z85" s="321">
        <f t="shared" si="21"/>
        <v>0</v>
      </c>
      <c r="AA85" s="321">
        <f t="shared" si="21"/>
        <v>0</v>
      </c>
      <c r="AB85" s="321">
        <f t="shared" si="21"/>
        <v>0</v>
      </c>
      <c r="AC85" s="321">
        <f t="shared" si="21"/>
        <v>0</v>
      </c>
      <c r="AD85" s="321">
        <f t="shared" si="21"/>
        <v>0</v>
      </c>
      <c r="AE85" s="321">
        <f t="shared" si="21"/>
        <v>0</v>
      </c>
      <c r="AF85" s="321">
        <f t="shared" si="21"/>
        <v>998.31999999999994</v>
      </c>
      <c r="AG85" s="70">
        <f t="shared" si="15"/>
        <v>998.31999999999994</v>
      </c>
      <c r="AH85" s="321">
        <f t="shared" si="16"/>
        <v>998.31999999999994</v>
      </c>
      <c r="AI85" s="331">
        <f t="shared" si="17"/>
        <v>0</v>
      </c>
    </row>
    <row r="86" spans="1:35" ht="10.5">
      <c r="A86" s="1" t="s">
        <v>705</v>
      </c>
      <c r="B86" s="4">
        <v>15055279</v>
      </c>
      <c r="C86" s="4"/>
      <c r="D86" s="1" t="s">
        <v>708</v>
      </c>
      <c r="E86" s="1" t="s">
        <v>708</v>
      </c>
      <c r="F86" s="180"/>
      <c r="G86" s="185"/>
      <c r="H86" s="233"/>
      <c r="I86" s="195">
        <v>155.13</v>
      </c>
      <c r="J86" s="195">
        <v>220</v>
      </c>
      <c r="K86" s="238">
        <v>223.15</v>
      </c>
      <c r="L86" s="32"/>
      <c r="M86" s="32"/>
      <c r="N86" s="32"/>
      <c r="O86" s="32"/>
      <c r="P86" s="304">
        <v>493</v>
      </c>
      <c r="Q86" s="181">
        <v>170</v>
      </c>
      <c r="R86" s="8">
        <f>+SUM(F86:Q86)</f>
        <v>1261.28</v>
      </c>
      <c r="S86" s="1">
        <f>COUNT(F86:Q86)</f>
        <v>5</v>
      </c>
      <c r="T86" s="32">
        <f>+IF(R86=0,0,R86/S86)</f>
        <v>252.256</v>
      </c>
      <c r="V86" s="321">
        <f t="shared" si="13"/>
        <v>0</v>
      </c>
      <c r="W86" s="321">
        <f t="shared" si="21"/>
        <v>0</v>
      </c>
      <c r="X86" s="321">
        <f t="shared" si="21"/>
        <v>0</v>
      </c>
      <c r="Y86" s="321">
        <f t="shared" si="21"/>
        <v>0</v>
      </c>
      <c r="Z86" s="321">
        <f t="shared" si="21"/>
        <v>0</v>
      </c>
      <c r="AA86" s="321">
        <f t="shared" si="21"/>
        <v>0</v>
      </c>
      <c r="AB86" s="321">
        <f t="shared" si="21"/>
        <v>0</v>
      </c>
      <c r="AC86" s="321">
        <f t="shared" si="21"/>
        <v>0</v>
      </c>
      <c r="AD86" s="321">
        <f t="shared" si="21"/>
        <v>0</v>
      </c>
      <c r="AE86" s="321">
        <f t="shared" si="21"/>
        <v>0</v>
      </c>
      <c r="AF86" s="321">
        <f t="shared" si="21"/>
        <v>598.28</v>
      </c>
      <c r="AG86" s="70">
        <f t="shared" si="15"/>
        <v>598.28</v>
      </c>
      <c r="AH86" s="321">
        <f t="shared" si="16"/>
        <v>598.28</v>
      </c>
      <c r="AI86" s="331">
        <f t="shared" si="17"/>
        <v>0</v>
      </c>
    </row>
    <row r="87" spans="1:35" ht="10.5">
      <c r="A87" s="1" t="s">
        <v>705</v>
      </c>
      <c r="B87" s="42">
        <v>15005197</v>
      </c>
      <c r="C87" s="42"/>
      <c r="D87" s="11" t="s">
        <v>689</v>
      </c>
      <c r="E87" s="11" t="s">
        <v>600</v>
      </c>
      <c r="F87" s="32"/>
      <c r="G87" s="32"/>
      <c r="H87" s="229">
        <v>53.04</v>
      </c>
      <c r="I87" s="192">
        <v>334.73</v>
      </c>
      <c r="J87" s="32"/>
      <c r="K87" s="32"/>
      <c r="L87" s="32"/>
      <c r="M87" s="32"/>
      <c r="N87" s="32"/>
      <c r="O87" s="220">
        <v>559.80999999999995</v>
      </c>
      <c r="P87" s="32"/>
      <c r="Q87" s="32"/>
      <c r="R87" s="8">
        <f>+SUM(F87:Q87)</f>
        <v>947.57999999999993</v>
      </c>
      <c r="S87" s="1">
        <f>COUNT(F87:Q87)</f>
        <v>3</v>
      </c>
      <c r="T87" s="32">
        <f>+IF(R87=0,0,R87/S87)</f>
        <v>315.85999999999996</v>
      </c>
      <c r="V87" s="321">
        <f t="shared" si="13"/>
        <v>0</v>
      </c>
      <c r="W87" s="321">
        <f t="shared" si="21"/>
        <v>0</v>
      </c>
      <c r="X87" s="321">
        <f t="shared" si="21"/>
        <v>0</v>
      </c>
      <c r="Y87" s="321">
        <f t="shared" si="21"/>
        <v>0</v>
      </c>
      <c r="Z87" s="321">
        <f t="shared" si="21"/>
        <v>0</v>
      </c>
      <c r="AA87" s="321">
        <f t="shared" si="21"/>
        <v>0</v>
      </c>
      <c r="AB87" s="321">
        <f t="shared" si="21"/>
        <v>0</v>
      </c>
      <c r="AC87" s="321">
        <f t="shared" si="21"/>
        <v>0</v>
      </c>
      <c r="AD87" s="321">
        <f t="shared" si="21"/>
        <v>0</v>
      </c>
      <c r="AE87" s="321">
        <f t="shared" si="21"/>
        <v>0</v>
      </c>
      <c r="AF87" s="321">
        <f t="shared" si="21"/>
        <v>387.77000000000004</v>
      </c>
      <c r="AG87" s="70">
        <f t="shared" si="15"/>
        <v>387.77000000000004</v>
      </c>
      <c r="AH87" s="321">
        <f t="shared" si="16"/>
        <v>387.77000000000004</v>
      </c>
      <c r="AI87" s="331">
        <f t="shared" si="17"/>
        <v>0</v>
      </c>
    </row>
    <row r="88" spans="1:35" ht="10.5">
      <c r="A88" s="1" t="s">
        <v>705</v>
      </c>
      <c r="B88" s="42">
        <v>15037548</v>
      </c>
      <c r="C88" s="42"/>
      <c r="D88" s="11" t="s">
        <v>697</v>
      </c>
      <c r="E88" s="11" t="s">
        <v>697</v>
      </c>
      <c r="F88" s="180"/>
      <c r="G88" s="184">
        <v>120.6</v>
      </c>
      <c r="H88" s="32"/>
      <c r="I88" s="192">
        <v>142.37</v>
      </c>
      <c r="J88" s="32"/>
      <c r="K88" s="32"/>
      <c r="L88" s="32"/>
      <c r="M88" s="32"/>
      <c r="N88" s="32"/>
      <c r="O88" s="220">
        <v>170.85</v>
      </c>
      <c r="P88" s="304">
        <v>85.42</v>
      </c>
      <c r="Q88" s="172">
        <v>85.42</v>
      </c>
      <c r="R88" s="8">
        <f>+SUM(F88:Q88)</f>
        <v>604.66</v>
      </c>
      <c r="S88" s="1">
        <f>COUNT(F88:Q88)</f>
        <v>5</v>
      </c>
      <c r="T88" s="32">
        <f>+IF(R88=0,0,R88/S88)</f>
        <v>120.93199999999999</v>
      </c>
      <c r="V88" s="321">
        <f t="shared" si="13"/>
        <v>0</v>
      </c>
      <c r="W88" s="321">
        <f t="shared" si="21"/>
        <v>0</v>
      </c>
      <c r="X88" s="321">
        <f t="shared" si="21"/>
        <v>0</v>
      </c>
      <c r="Y88" s="321">
        <f t="shared" si="21"/>
        <v>0</v>
      </c>
      <c r="Z88" s="321">
        <f t="shared" si="21"/>
        <v>0</v>
      </c>
      <c r="AA88" s="321">
        <f t="shared" si="21"/>
        <v>0</v>
      </c>
      <c r="AB88" s="321">
        <f t="shared" si="21"/>
        <v>0</v>
      </c>
      <c r="AC88" s="321">
        <f t="shared" si="21"/>
        <v>0</v>
      </c>
      <c r="AD88" s="321">
        <f t="shared" si="21"/>
        <v>0</v>
      </c>
      <c r="AE88" s="321">
        <f t="shared" si="21"/>
        <v>0</v>
      </c>
      <c r="AF88" s="321">
        <f t="shared" si="21"/>
        <v>262.97000000000003</v>
      </c>
      <c r="AG88" s="70">
        <f t="shared" si="15"/>
        <v>262.97000000000003</v>
      </c>
      <c r="AH88" s="321">
        <f t="shared" si="16"/>
        <v>262.97000000000003</v>
      </c>
      <c r="AI88" s="331">
        <f t="shared" si="17"/>
        <v>0</v>
      </c>
    </row>
    <row r="89" spans="1:35" ht="10.5">
      <c r="A89" s="1" t="s">
        <v>705</v>
      </c>
      <c r="B89" s="42">
        <v>15052031</v>
      </c>
      <c r="C89" s="42"/>
      <c r="D89" s="11" t="s">
        <v>711</v>
      </c>
      <c r="E89" s="11" t="s">
        <v>711</v>
      </c>
      <c r="F89" s="180"/>
      <c r="G89" s="185"/>
      <c r="H89" s="233"/>
      <c r="I89" s="193"/>
      <c r="J89" s="196"/>
      <c r="K89" s="240"/>
      <c r="L89" s="307"/>
      <c r="M89" s="211"/>
      <c r="N89" s="217">
        <v>200.46</v>
      </c>
      <c r="O89" s="220">
        <v>167.17</v>
      </c>
      <c r="P89" s="304">
        <v>214.63</v>
      </c>
      <c r="Q89" s="172">
        <v>55.25</v>
      </c>
      <c r="R89" s="8">
        <f>+SUM(F89:Q89)</f>
        <v>637.51</v>
      </c>
      <c r="S89" s="1">
        <f>COUNT(F89:Q89)</f>
        <v>4</v>
      </c>
      <c r="T89" s="32">
        <f>+IF(R89=0,0,R89/S89)</f>
        <v>159.3775</v>
      </c>
      <c r="V89" s="321">
        <f t="shared" si="13"/>
        <v>0</v>
      </c>
      <c r="W89" s="321">
        <f t="shared" si="21"/>
        <v>0</v>
      </c>
      <c r="X89" s="321">
        <f t="shared" si="21"/>
        <v>0</v>
      </c>
      <c r="Y89" s="321">
        <f t="shared" si="21"/>
        <v>0</v>
      </c>
      <c r="Z89" s="321">
        <f t="shared" si="21"/>
        <v>0</v>
      </c>
      <c r="AA89" s="321">
        <f t="shared" si="21"/>
        <v>0</v>
      </c>
      <c r="AB89" s="321">
        <f t="shared" si="21"/>
        <v>0</v>
      </c>
      <c r="AC89" s="321">
        <f t="shared" si="21"/>
        <v>0</v>
      </c>
      <c r="AD89" s="321">
        <f t="shared" si="21"/>
        <v>0</v>
      </c>
      <c r="AE89" s="321">
        <f t="shared" si="21"/>
        <v>0</v>
      </c>
      <c r="AF89" s="321">
        <f t="shared" si="21"/>
        <v>0</v>
      </c>
      <c r="AG89" s="70">
        <f t="shared" si="15"/>
        <v>0</v>
      </c>
      <c r="AH89" s="321">
        <f t="shared" si="16"/>
        <v>0</v>
      </c>
      <c r="AI89" s="331">
        <f t="shared" si="17"/>
        <v>0</v>
      </c>
    </row>
    <row r="90" spans="1:35" ht="10.5">
      <c r="A90" s="1" t="s">
        <v>705</v>
      </c>
      <c r="B90" s="4">
        <v>15010643</v>
      </c>
      <c r="C90" s="4"/>
      <c r="D90" s="1" t="s">
        <v>691</v>
      </c>
      <c r="E90" s="1" t="s">
        <v>586</v>
      </c>
      <c r="F90" s="32"/>
      <c r="G90" s="184">
        <v>90</v>
      </c>
      <c r="H90" s="32"/>
      <c r="I90" s="32"/>
      <c r="J90" s="32"/>
      <c r="K90" s="32"/>
      <c r="L90" s="32"/>
      <c r="M90" s="32"/>
      <c r="N90" s="220">
        <v>21.48</v>
      </c>
      <c r="O90" s="220">
        <v>33.840000000000003</v>
      </c>
      <c r="P90" s="32"/>
      <c r="Q90" s="32"/>
      <c r="R90" s="8">
        <f t="shared" si="18"/>
        <v>145.32</v>
      </c>
      <c r="S90" s="1">
        <f t="shared" si="19"/>
        <v>3</v>
      </c>
      <c r="T90" s="32">
        <f t="shared" si="20"/>
        <v>48.44</v>
      </c>
      <c r="V90" s="321">
        <f t="shared" si="13"/>
        <v>0</v>
      </c>
      <c r="W90" s="321">
        <f t="shared" si="21"/>
        <v>0</v>
      </c>
      <c r="X90" s="321">
        <f t="shared" si="21"/>
        <v>0</v>
      </c>
      <c r="Y90" s="321">
        <f t="shared" si="21"/>
        <v>0</v>
      </c>
      <c r="Z90" s="321">
        <f t="shared" si="21"/>
        <v>0</v>
      </c>
      <c r="AA90" s="321">
        <f t="shared" si="21"/>
        <v>0</v>
      </c>
      <c r="AB90" s="321">
        <f t="shared" si="21"/>
        <v>0</v>
      </c>
      <c r="AC90" s="321">
        <f t="shared" si="21"/>
        <v>0</v>
      </c>
      <c r="AD90" s="321">
        <f t="shared" si="21"/>
        <v>0</v>
      </c>
      <c r="AE90" s="321">
        <f t="shared" si="21"/>
        <v>0</v>
      </c>
      <c r="AF90" s="321">
        <f t="shared" si="21"/>
        <v>90</v>
      </c>
      <c r="AG90" s="70">
        <f t="shared" si="15"/>
        <v>90</v>
      </c>
      <c r="AH90" s="321">
        <f t="shared" si="16"/>
        <v>90</v>
      </c>
      <c r="AI90" s="331">
        <f t="shared" si="17"/>
        <v>0</v>
      </c>
    </row>
    <row r="91" spans="1:35" ht="10.5">
      <c r="A91" s="1" t="s">
        <v>705</v>
      </c>
      <c r="B91" s="4">
        <v>15028936</v>
      </c>
      <c r="C91" s="4"/>
      <c r="D91" s="1" t="s">
        <v>478</v>
      </c>
      <c r="E91" s="1" t="s">
        <v>478</v>
      </c>
      <c r="F91" s="181">
        <v>224.26</v>
      </c>
      <c r="G91" s="184">
        <v>13.5</v>
      </c>
      <c r="H91" s="32"/>
      <c r="I91" s="195">
        <v>214.21</v>
      </c>
      <c r="J91" s="195">
        <v>133.33000000000001</v>
      </c>
      <c r="K91" s="238">
        <v>187</v>
      </c>
      <c r="L91" s="306">
        <v>69.06</v>
      </c>
      <c r="M91" s="212">
        <v>43.56</v>
      </c>
      <c r="N91" s="217">
        <v>245.71</v>
      </c>
      <c r="O91" s="220">
        <v>160.44</v>
      </c>
      <c r="P91" s="304">
        <v>355.3</v>
      </c>
      <c r="Q91" s="172">
        <v>277.08999999999997</v>
      </c>
      <c r="R91" s="8">
        <f t="shared" si="18"/>
        <v>1923.46</v>
      </c>
      <c r="S91" s="1">
        <f t="shared" si="19"/>
        <v>11</v>
      </c>
      <c r="T91" s="32">
        <f t="shared" si="20"/>
        <v>174.86</v>
      </c>
      <c r="V91" s="321">
        <f t="shared" si="13"/>
        <v>0</v>
      </c>
      <c r="W91" s="321">
        <f t="shared" si="21"/>
        <v>0</v>
      </c>
      <c r="X91" s="321">
        <f t="shared" si="21"/>
        <v>0</v>
      </c>
      <c r="Y91" s="321">
        <f t="shared" si="21"/>
        <v>0</v>
      </c>
      <c r="Z91" s="321">
        <f t="shared" si="21"/>
        <v>0</v>
      </c>
      <c r="AA91" s="321">
        <f t="shared" si="21"/>
        <v>0</v>
      </c>
      <c r="AB91" s="321">
        <f t="shared" si="21"/>
        <v>0</v>
      </c>
      <c r="AC91" s="321">
        <f t="shared" si="21"/>
        <v>0</v>
      </c>
      <c r="AD91" s="321">
        <f t="shared" si="21"/>
        <v>0</v>
      </c>
      <c r="AE91" s="321">
        <f t="shared" si="21"/>
        <v>0</v>
      </c>
      <c r="AF91" s="321">
        <f t="shared" si="21"/>
        <v>772.30000000000007</v>
      </c>
      <c r="AG91" s="70">
        <f t="shared" si="15"/>
        <v>772.30000000000007</v>
      </c>
      <c r="AH91" s="321">
        <f t="shared" si="16"/>
        <v>772.30000000000007</v>
      </c>
      <c r="AI91" s="331">
        <f t="shared" si="17"/>
        <v>0</v>
      </c>
    </row>
    <row r="92" spans="1:35" ht="10.5">
      <c r="A92" s="1" t="s">
        <v>705</v>
      </c>
      <c r="B92" s="42">
        <v>15012310</v>
      </c>
      <c r="C92" s="42"/>
      <c r="D92" s="11" t="s">
        <v>603</v>
      </c>
      <c r="E92" s="11" t="s">
        <v>684</v>
      </c>
      <c r="F92" s="181">
        <v>64.02</v>
      </c>
      <c r="G92" s="184">
        <v>125.03</v>
      </c>
      <c r="H92" s="229">
        <v>90.67</v>
      </c>
      <c r="I92" s="192">
        <v>52.87</v>
      </c>
      <c r="J92" s="32"/>
      <c r="K92" s="32"/>
      <c r="L92" s="238">
        <v>271.49</v>
      </c>
      <c r="M92" s="32"/>
      <c r="N92" s="32"/>
      <c r="O92" s="32"/>
      <c r="P92" s="304">
        <v>180.43</v>
      </c>
      <c r="Q92" s="32"/>
      <c r="R92" s="8">
        <f t="shared" si="18"/>
        <v>784.51</v>
      </c>
      <c r="S92" s="1">
        <f t="shared" si="19"/>
        <v>6</v>
      </c>
      <c r="T92" s="32">
        <f t="shared" si="20"/>
        <v>130.75166666666667</v>
      </c>
      <c r="V92" s="321">
        <f t="shared" si="13"/>
        <v>0</v>
      </c>
      <c r="W92" s="321">
        <f t="shared" si="21"/>
        <v>0</v>
      </c>
      <c r="X92" s="321">
        <f t="shared" si="21"/>
        <v>0</v>
      </c>
      <c r="Y92" s="321">
        <f t="shared" si="21"/>
        <v>0</v>
      </c>
      <c r="Z92" s="321">
        <f t="shared" si="21"/>
        <v>0</v>
      </c>
      <c r="AA92" s="321">
        <f t="shared" si="21"/>
        <v>0</v>
      </c>
      <c r="AB92" s="321">
        <f t="shared" si="21"/>
        <v>0</v>
      </c>
      <c r="AC92" s="321">
        <f t="shared" si="21"/>
        <v>0</v>
      </c>
      <c r="AD92" s="321">
        <f t="shared" si="21"/>
        <v>0</v>
      </c>
      <c r="AE92" s="321">
        <f t="shared" si="21"/>
        <v>0</v>
      </c>
      <c r="AF92" s="321">
        <f t="shared" si="21"/>
        <v>332.59000000000003</v>
      </c>
      <c r="AG92" s="70">
        <f t="shared" si="15"/>
        <v>332.59000000000003</v>
      </c>
      <c r="AH92" s="321">
        <f t="shared" si="16"/>
        <v>332.59000000000003</v>
      </c>
      <c r="AI92" s="331">
        <f t="shared" si="17"/>
        <v>0</v>
      </c>
    </row>
    <row r="93" spans="1:35" ht="10.5">
      <c r="A93" s="1" t="s">
        <v>705</v>
      </c>
      <c r="B93" s="42">
        <v>15051241</v>
      </c>
      <c r="C93" s="42"/>
      <c r="D93" s="11" t="s">
        <v>603</v>
      </c>
      <c r="E93" s="11" t="s">
        <v>685</v>
      </c>
      <c r="F93" s="181">
        <v>119.48</v>
      </c>
      <c r="G93" s="32"/>
      <c r="H93" s="32"/>
      <c r="I93" s="32"/>
      <c r="J93" s="32"/>
      <c r="K93" s="32"/>
      <c r="L93" s="32"/>
      <c r="M93" s="212">
        <v>147.62</v>
      </c>
      <c r="N93" s="32"/>
      <c r="O93" s="220">
        <v>230.98</v>
      </c>
      <c r="P93" s="304">
        <v>239.4</v>
      </c>
      <c r="Q93" s="172">
        <v>184.37</v>
      </c>
      <c r="R93" s="8">
        <f t="shared" si="18"/>
        <v>921.85</v>
      </c>
      <c r="S93" s="1">
        <f t="shared" si="19"/>
        <v>5</v>
      </c>
      <c r="T93" s="32">
        <f t="shared" si="20"/>
        <v>184.37</v>
      </c>
      <c r="V93" s="321">
        <f t="shared" si="13"/>
        <v>0</v>
      </c>
      <c r="W93" s="321">
        <f t="shared" si="21"/>
        <v>0</v>
      </c>
      <c r="X93" s="321">
        <f t="shared" si="21"/>
        <v>0</v>
      </c>
      <c r="Y93" s="321">
        <f t="shared" si="21"/>
        <v>0</v>
      </c>
      <c r="Z93" s="321">
        <f t="shared" si="21"/>
        <v>0</v>
      </c>
      <c r="AA93" s="321">
        <f t="shared" si="21"/>
        <v>0</v>
      </c>
      <c r="AB93" s="321">
        <f t="shared" si="21"/>
        <v>0</v>
      </c>
      <c r="AC93" s="321">
        <f t="shared" si="21"/>
        <v>0</v>
      </c>
      <c r="AD93" s="321">
        <f t="shared" si="21"/>
        <v>0</v>
      </c>
      <c r="AE93" s="321">
        <f t="shared" si="21"/>
        <v>0</v>
      </c>
      <c r="AF93" s="321">
        <f t="shared" si="21"/>
        <v>119.48</v>
      </c>
      <c r="AG93" s="70">
        <f t="shared" si="15"/>
        <v>119.48</v>
      </c>
      <c r="AH93" s="321">
        <f t="shared" si="16"/>
        <v>119.48</v>
      </c>
      <c r="AI93" s="331">
        <f t="shared" si="17"/>
        <v>0</v>
      </c>
    </row>
    <row r="94" spans="1:35" ht="10.5">
      <c r="A94" s="1" t="s">
        <v>705</v>
      </c>
      <c r="B94" s="42">
        <v>15051369</v>
      </c>
      <c r="C94" s="42"/>
      <c r="D94" s="11" t="s">
        <v>603</v>
      </c>
      <c r="E94" s="11" t="s">
        <v>686</v>
      </c>
      <c r="F94" s="181">
        <v>476.76</v>
      </c>
      <c r="G94" s="184">
        <v>132.56</v>
      </c>
      <c r="H94" s="195">
        <v>174.88</v>
      </c>
      <c r="I94" s="192">
        <v>545.75</v>
      </c>
      <c r="J94" s="32"/>
      <c r="K94" s="238">
        <v>14.43</v>
      </c>
      <c r="L94" s="306">
        <v>109.31</v>
      </c>
      <c r="M94" s="32"/>
      <c r="N94" s="217">
        <v>533.62</v>
      </c>
      <c r="O94" s="220">
        <v>236.45</v>
      </c>
      <c r="P94" s="32"/>
      <c r="Q94" s="172">
        <v>486.75</v>
      </c>
      <c r="R94" s="8">
        <f t="shared" si="18"/>
        <v>2710.5099999999998</v>
      </c>
      <c r="S94" s="1">
        <f t="shared" si="19"/>
        <v>9</v>
      </c>
      <c r="T94" s="32">
        <f t="shared" si="20"/>
        <v>301.16777777777776</v>
      </c>
      <c r="V94" s="321">
        <f t="shared" si="13"/>
        <v>0</v>
      </c>
      <c r="W94" s="321">
        <f t="shared" si="21"/>
        <v>0</v>
      </c>
      <c r="X94" s="321">
        <f t="shared" si="21"/>
        <v>0</v>
      </c>
      <c r="Y94" s="321">
        <f t="shared" si="21"/>
        <v>0</v>
      </c>
      <c r="Z94" s="321">
        <f t="shared" si="21"/>
        <v>0</v>
      </c>
      <c r="AA94" s="321">
        <f t="shared" si="21"/>
        <v>0</v>
      </c>
      <c r="AB94" s="321">
        <f t="shared" si="21"/>
        <v>0</v>
      </c>
      <c r="AC94" s="321">
        <f t="shared" si="21"/>
        <v>0</v>
      </c>
      <c r="AD94" s="321">
        <f t="shared" si="21"/>
        <v>0</v>
      </c>
      <c r="AE94" s="321">
        <f t="shared" si="21"/>
        <v>0</v>
      </c>
      <c r="AF94" s="321">
        <f t="shared" si="21"/>
        <v>1344.3799999999999</v>
      </c>
      <c r="AG94" s="70">
        <f t="shared" si="15"/>
        <v>1344.3799999999999</v>
      </c>
      <c r="AH94" s="321">
        <f t="shared" si="16"/>
        <v>1344.3799999999999</v>
      </c>
      <c r="AI94" s="331">
        <f t="shared" si="17"/>
        <v>0</v>
      </c>
    </row>
    <row r="95" spans="1:35" ht="10.5">
      <c r="A95" s="1" t="s">
        <v>705</v>
      </c>
      <c r="B95" s="42">
        <v>3555200</v>
      </c>
      <c r="C95" s="42"/>
      <c r="D95" s="11" t="s">
        <v>735</v>
      </c>
      <c r="E95" s="11" t="s">
        <v>735</v>
      </c>
      <c r="F95" s="229">
        <v>413.7</v>
      </c>
      <c r="G95" s="229">
        <v>311.39999999999998</v>
      </c>
      <c r="H95" s="229">
        <v>395.85</v>
      </c>
      <c r="I95" s="229">
        <v>543.41</v>
      </c>
      <c r="J95" s="229">
        <v>552.5</v>
      </c>
      <c r="K95" s="229">
        <v>387.78</v>
      </c>
      <c r="L95" s="229">
        <v>338.56</v>
      </c>
      <c r="M95" s="229">
        <v>316.2</v>
      </c>
      <c r="N95" s="229">
        <v>428.91</v>
      </c>
      <c r="O95" s="229">
        <v>548.51</v>
      </c>
      <c r="P95" s="229">
        <v>406.56</v>
      </c>
      <c r="Q95" s="229">
        <v>289.94</v>
      </c>
      <c r="R95" s="8">
        <f>+SUM(F95:Q95)</f>
        <v>4933.3199999999988</v>
      </c>
      <c r="S95" s="1">
        <f>COUNT(F95:Q95)</f>
        <v>12</v>
      </c>
      <c r="T95" s="32">
        <f>+IF(R95=0,0,R95/S95)</f>
        <v>411.1099999999999</v>
      </c>
      <c r="V95" s="321">
        <f t="shared" si="13"/>
        <v>0</v>
      </c>
      <c r="W95" s="321">
        <f t="shared" si="21"/>
        <v>0</v>
      </c>
      <c r="X95" s="321">
        <f t="shared" si="21"/>
        <v>0</v>
      </c>
      <c r="Y95" s="321">
        <f t="shared" si="21"/>
        <v>0</v>
      </c>
      <c r="Z95" s="321">
        <f t="shared" si="21"/>
        <v>0</v>
      </c>
      <c r="AA95" s="321">
        <f t="shared" si="21"/>
        <v>0</v>
      </c>
      <c r="AB95" s="321">
        <f t="shared" si="21"/>
        <v>0</v>
      </c>
      <c r="AC95" s="321">
        <f t="shared" si="21"/>
        <v>0</v>
      </c>
      <c r="AD95" s="321">
        <f t="shared" si="21"/>
        <v>0</v>
      </c>
      <c r="AE95" s="321">
        <f t="shared" si="21"/>
        <v>0</v>
      </c>
      <c r="AF95" s="321">
        <f t="shared" si="21"/>
        <v>2604.6399999999994</v>
      </c>
      <c r="AG95" s="70">
        <f t="shared" si="15"/>
        <v>2604.6399999999994</v>
      </c>
      <c r="AH95" s="321">
        <f t="shared" si="16"/>
        <v>2604.6399999999994</v>
      </c>
      <c r="AI95" s="331">
        <f t="shared" si="17"/>
        <v>0</v>
      </c>
    </row>
    <row r="96" spans="1:35" ht="10.5">
      <c r="A96" s="1" t="s">
        <v>705</v>
      </c>
      <c r="B96" s="42">
        <v>12978700</v>
      </c>
      <c r="C96" s="42"/>
      <c r="D96" s="11" t="s">
        <v>696</v>
      </c>
      <c r="E96" s="11" t="s">
        <v>696</v>
      </c>
      <c r="F96" s="180"/>
      <c r="G96" s="184">
        <v>233.52</v>
      </c>
      <c r="H96" s="229">
        <v>158.35</v>
      </c>
      <c r="I96" s="192">
        <v>154</v>
      </c>
      <c r="J96" s="195">
        <v>52.78</v>
      </c>
      <c r="K96" s="32"/>
      <c r="L96" s="306">
        <v>102.51</v>
      </c>
      <c r="M96" s="212">
        <v>22.52</v>
      </c>
      <c r="N96" s="217">
        <v>306.94</v>
      </c>
      <c r="O96" s="220">
        <v>251.77</v>
      </c>
      <c r="P96" s="304">
        <v>128.86000000000001</v>
      </c>
      <c r="Q96" s="172">
        <v>46.58</v>
      </c>
      <c r="R96" s="8">
        <f>+SUM(F96:Q96)</f>
        <v>1457.83</v>
      </c>
      <c r="S96" s="1">
        <f>COUNT(F96:Q96)</f>
        <v>10</v>
      </c>
      <c r="T96" s="32">
        <f>+IF(R96=0,0,R96/S96)</f>
        <v>145.78299999999999</v>
      </c>
      <c r="V96" s="321">
        <f t="shared" si="13"/>
        <v>0</v>
      </c>
      <c r="W96" s="321">
        <f t="shared" si="21"/>
        <v>0</v>
      </c>
      <c r="X96" s="321">
        <f t="shared" si="21"/>
        <v>0</v>
      </c>
      <c r="Y96" s="321">
        <f t="shared" si="21"/>
        <v>0</v>
      </c>
      <c r="Z96" s="321">
        <f t="shared" si="21"/>
        <v>0</v>
      </c>
      <c r="AA96" s="321">
        <f t="shared" si="21"/>
        <v>0</v>
      </c>
      <c r="AB96" s="321">
        <f t="shared" si="21"/>
        <v>0</v>
      </c>
      <c r="AC96" s="321">
        <f t="shared" si="21"/>
        <v>0</v>
      </c>
      <c r="AD96" s="321">
        <f t="shared" si="21"/>
        <v>0</v>
      </c>
      <c r="AE96" s="321">
        <f t="shared" si="21"/>
        <v>0</v>
      </c>
      <c r="AF96" s="321">
        <f t="shared" si="21"/>
        <v>598.65</v>
      </c>
      <c r="AG96" s="70">
        <f t="shared" si="15"/>
        <v>598.65</v>
      </c>
      <c r="AH96" s="321">
        <f t="shared" si="16"/>
        <v>598.65</v>
      </c>
      <c r="AI96" s="331">
        <f t="shared" si="17"/>
        <v>0</v>
      </c>
    </row>
    <row r="97" spans="1:35" ht="10.5">
      <c r="A97" s="1" t="s">
        <v>705</v>
      </c>
      <c r="B97" s="4">
        <v>13032900</v>
      </c>
      <c r="C97" s="4"/>
      <c r="D97" s="1" t="s">
        <v>569</v>
      </c>
      <c r="E97" s="1" t="s">
        <v>568</v>
      </c>
      <c r="F97" s="181">
        <v>175.65</v>
      </c>
      <c r="G97" s="184">
        <v>60</v>
      </c>
      <c r="H97" s="229">
        <v>231.63</v>
      </c>
      <c r="I97" s="192">
        <v>189.13</v>
      </c>
      <c r="J97" s="195">
        <v>89.25</v>
      </c>
      <c r="K97" s="32"/>
      <c r="L97" s="306">
        <v>104.26</v>
      </c>
      <c r="M97" s="32"/>
      <c r="N97" s="217">
        <v>168.55</v>
      </c>
      <c r="O97" s="220">
        <v>375.06</v>
      </c>
      <c r="P97" s="304">
        <v>207.05</v>
      </c>
      <c r="Q97" s="172">
        <v>275.54000000000002</v>
      </c>
      <c r="R97" s="8">
        <f t="shared" si="18"/>
        <v>1876.12</v>
      </c>
      <c r="S97" s="1">
        <f t="shared" si="19"/>
        <v>10</v>
      </c>
      <c r="T97" s="32">
        <f t="shared" si="20"/>
        <v>187.61199999999999</v>
      </c>
      <c r="V97" s="321">
        <f t="shared" si="13"/>
        <v>0</v>
      </c>
      <c r="W97" s="321">
        <f t="shared" si="21"/>
        <v>0</v>
      </c>
      <c r="X97" s="321">
        <f t="shared" si="21"/>
        <v>0</v>
      </c>
      <c r="Y97" s="321">
        <f t="shared" si="21"/>
        <v>0</v>
      </c>
      <c r="Z97" s="321">
        <f t="shared" si="21"/>
        <v>0</v>
      </c>
      <c r="AA97" s="321">
        <f t="shared" si="21"/>
        <v>0</v>
      </c>
      <c r="AB97" s="321">
        <f t="shared" si="21"/>
        <v>0</v>
      </c>
      <c r="AC97" s="321">
        <f t="shared" si="21"/>
        <v>0</v>
      </c>
      <c r="AD97" s="321">
        <f t="shared" si="21"/>
        <v>0</v>
      </c>
      <c r="AE97" s="321">
        <f t="shared" si="21"/>
        <v>0</v>
      </c>
      <c r="AF97" s="321">
        <f t="shared" si="21"/>
        <v>745.66</v>
      </c>
      <c r="AG97" s="70">
        <f t="shared" si="15"/>
        <v>745.66</v>
      </c>
      <c r="AH97" s="321">
        <f t="shared" si="16"/>
        <v>745.66</v>
      </c>
      <c r="AI97" s="331">
        <f t="shared" si="17"/>
        <v>0</v>
      </c>
    </row>
    <row r="98" spans="1:35" ht="10.5">
      <c r="A98" s="1" t="s">
        <v>705</v>
      </c>
      <c r="B98" s="42">
        <v>13943600</v>
      </c>
      <c r="C98" s="42"/>
      <c r="D98" s="11" t="s">
        <v>628</v>
      </c>
      <c r="E98" s="11" t="s">
        <v>602</v>
      </c>
      <c r="F98" s="32"/>
      <c r="G98" s="192">
        <v>93.9</v>
      </c>
      <c r="H98" s="192">
        <v>406.39</v>
      </c>
      <c r="I98" s="192">
        <v>565.91</v>
      </c>
      <c r="J98" s="195">
        <v>446.59</v>
      </c>
      <c r="K98" s="238">
        <v>305.42</v>
      </c>
      <c r="L98" s="306">
        <v>306.73</v>
      </c>
      <c r="M98" s="212">
        <v>429.56</v>
      </c>
      <c r="N98" s="220">
        <v>212.07</v>
      </c>
      <c r="O98" s="220">
        <v>178.92</v>
      </c>
      <c r="P98" s="172">
        <v>414.8</v>
      </c>
      <c r="Q98" s="172">
        <v>458.13</v>
      </c>
      <c r="R98" s="8">
        <f t="shared" si="18"/>
        <v>3818.42</v>
      </c>
      <c r="S98" s="1">
        <f t="shared" si="19"/>
        <v>11</v>
      </c>
      <c r="T98" s="32">
        <f t="shared" si="20"/>
        <v>347.12909090909091</v>
      </c>
      <c r="V98" s="321">
        <f t="shared" si="13"/>
        <v>0</v>
      </c>
      <c r="W98" s="321">
        <f t="shared" si="21"/>
        <v>0</v>
      </c>
      <c r="X98" s="321">
        <f t="shared" si="21"/>
        <v>0</v>
      </c>
      <c r="Y98" s="321">
        <f t="shared" si="21"/>
        <v>0</v>
      </c>
      <c r="Z98" s="321">
        <f t="shared" si="21"/>
        <v>0</v>
      </c>
      <c r="AA98" s="321">
        <f t="shared" si="21"/>
        <v>0</v>
      </c>
      <c r="AB98" s="321">
        <f t="shared" si="21"/>
        <v>0</v>
      </c>
      <c r="AC98" s="321">
        <f t="shared" si="21"/>
        <v>0</v>
      </c>
      <c r="AD98" s="321">
        <f t="shared" si="21"/>
        <v>0</v>
      </c>
      <c r="AE98" s="321">
        <f t="shared" si="21"/>
        <v>0</v>
      </c>
      <c r="AF98" s="321">
        <f t="shared" si="21"/>
        <v>1818.2099999999998</v>
      </c>
      <c r="AG98" s="70">
        <f t="shared" si="15"/>
        <v>1818.2099999999998</v>
      </c>
      <c r="AH98" s="321">
        <f t="shared" si="16"/>
        <v>1818.2099999999998</v>
      </c>
      <c r="AI98" s="331">
        <f t="shared" si="17"/>
        <v>0</v>
      </c>
    </row>
    <row r="99" spans="1:35" ht="10.5">
      <c r="A99" s="1" t="s">
        <v>705</v>
      </c>
      <c r="B99" s="4">
        <v>7009800</v>
      </c>
      <c r="C99" s="4"/>
      <c r="D99" s="1" t="s">
        <v>113</v>
      </c>
      <c r="E99" s="1" t="s">
        <v>102</v>
      </c>
      <c r="F99" s="181">
        <v>331.44</v>
      </c>
      <c r="G99" s="184">
        <v>304.23</v>
      </c>
      <c r="H99" s="229">
        <v>514.66999999999996</v>
      </c>
      <c r="I99" s="195">
        <v>448.38</v>
      </c>
      <c r="J99" s="195">
        <v>143.56</v>
      </c>
      <c r="K99" s="238">
        <v>216.32</v>
      </c>
      <c r="L99" s="32"/>
      <c r="M99" s="32"/>
      <c r="N99" s="217">
        <v>231.62</v>
      </c>
      <c r="O99" s="220">
        <v>428.26</v>
      </c>
      <c r="P99" s="304">
        <v>297.08</v>
      </c>
      <c r="Q99" s="172">
        <v>374.73</v>
      </c>
      <c r="R99" s="8">
        <f t="shared" si="18"/>
        <v>3290.2900000000004</v>
      </c>
      <c r="S99" s="1">
        <f t="shared" si="19"/>
        <v>10</v>
      </c>
      <c r="T99" s="32">
        <f t="shared" si="20"/>
        <v>329.02900000000005</v>
      </c>
      <c r="V99" s="321">
        <f t="shared" si="13"/>
        <v>0</v>
      </c>
      <c r="W99" s="321">
        <f t="shared" si="21"/>
        <v>0</v>
      </c>
      <c r="X99" s="321">
        <f t="shared" si="21"/>
        <v>0</v>
      </c>
      <c r="Y99" s="321">
        <f t="shared" si="21"/>
        <v>0</v>
      </c>
      <c r="Z99" s="321">
        <f t="shared" si="21"/>
        <v>0</v>
      </c>
      <c r="AA99" s="321">
        <f t="shared" si="21"/>
        <v>0</v>
      </c>
      <c r="AB99" s="321">
        <f t="shared" si="21"/>
        <v>0</v>
      </c>
      <c r="AC99" s="321">
        <f t="shared" si="21"/>
        <v>0</v>
      </c>
      <c r="AD99" s="321">
        <f t="shared" si="21"/>
        <v>0</v>
      </c>
      <c r="AE99" s="321">
        <f t="shared" si="21"/>
        <v>0</v>
      </c>
      <c r="AF99" s="321">
        <f t="shared" si="21"/>
        <v>1958.6000000000001</v>
      </c>
      <c r="AG99" s="70">
        <f t="shared" si="15"/>
        <v>1958.6000000000001</v>
      </c>
      <c r="AH99" s="321">
        <f t="shared" si="16"/>
        <v>1958.6000000000001</v>
      </c>
      <c r="AI99" s="331">
        <f t="shared" si="17"/>
        <v>0</v>
      </c>
    </row>
    <row r="100" spans="1:35" ht="10.5">
      <c r="A100" s="1" t="s">
        <v>705</v>
      </c>
      <c r="B100" s="4">
        <v>15052394</v>
      </c>
      <c r="C100" s="4"/>
      <c r="D100" s="1" t="s">
        <v>698</v>
      </c>
      <c r="E100" s="1" t="s">
        <v>698</v>
      </c>
      <c r="F100" s="180"/>
      <c r="G100" s="229">
        <v>23.34</v>
      </c>
      <c r="H100" s="229">
        <v>116.96</v>
      </c>
      <c r="I100" s="192">
        <v>95.37</v>
      </c>
      <c r="J100" s="195">
        <v>120.28</v>
      </c>
      <c r="K100" s="238">
        <v>78.88</v>
      </c>
      <c r="L100" s="306">
        <v>109.39</v>
      </c>
      <c r="M100" s="212">
        <v>92.48</v>
      </c>
      <c r="N100" s="217">
        <v>104.81</v>
      </c>
      <c r="O100" s="220">
        <v>116.79</v>
      </c>
      <c r="P100" s="304">
        <v>136.09</v>
      </c>
      <c r="Q100" s="172">
        <v>152.75</v>
      </c>
      <c r="R100" s="8">
        <f>+SUM(F100:Q100)</f>
        <v>1147.1399999999999</v>
      </c>
      <c r="S100" s="1">
        <f>COUNT(F100:Q100)</f>
        <v>11</v>
      </c>
      <c r="T100" s="32">
        <f>+IF(R100=0,0,R100/S100)</f>
        <v>104.28545454545453</v>
      </c>
      <c r="V100" s="321">
        <f t="shared" si="13"/>
        <v>0</v>
      </c>
      <c r="W100" s="321">
        <f t="shared" si="21"/>
        <v>0</v>
      </c>
      <c r="X100" s="321">
        <f t="shared" si="21"/>
        <v>0</v>
      </c>
      <c r="Y100" s="321">
        <f t="shared" si="21"/>
        <v>0</v>
      </c>
      <c r="Z100" s="321">
        <f t="shared" si="21"/>
        <v>0</v>
      </c>
      <c r="AA100" s="321">
        <f t="shared" si="21"/>
        <v>0</v>
      </c>
      <c r="AB100" s="321">
        <f t="shared" si="21"/>
        <v>0</v>
      </c>
      <c r="AC100" s="321">
        <f t="shared" si="21"/>
        <v>0</v>
      </c>
      <c r="AD100" s="321">
        <f t="shared" si="21"/>
        <v>0</v>
      </c>
      <c r="AE100" s="321">
        <f t="shared" si="21"/>
        <v>0</v>
      </c>
      <c r="AF100" s="321">
        <f t="shared" si="21"/>
        <v>434.83</v>
      </c>
      <c r="AG100" s="70">
        <f t="shared" si="15"/>
        <v>434.83</v>
      </c>
      <c r="AH100" s="321">
        <f t="shared" si="16"/>
        <v>434.83</v>
      </c>
      <c r="AI100" s="331">
        <f t="shared" si="17"/>
        <v>0</v>
      </c>
    </row>
    <row r="101" spans="1:35" ht="10.5">
      <c r="A101" s="1" t="s">
        <v>705</v>
      </c>
      <c r="B101" s="4">
        <v>15055103</v>
      </c>
      <c r="D101" s="1" t="s">
        <v>693</v>
      </c>
      <c r="E101" s="1" t="s">
        <v>693</v>
      </c>
      <c r="F101" s="179">
        <v>85.61</v>
      </c>
      <c r="G101" s="273">
        <v>223.67</v>
      </c>
      <c r="H101" s="230">
        <v>247.63</v>
      </c>
      <c r="I101" s="237">
        <v>246.5</v>
      </c>
      <c r="J101" s="195">
        <v>141.53</v>
      </c>
      <c r="K101" s="238">
        <v>93.5</v>
      </c>
      <c r="L101" s="32"/>
      <c r="M101" s="32"/>
      <c r="N101" s="217">
        <v>48.1</v>
      </c>
      <c r="O101" s="220">
        <v>321.57</v>
      </c>
      <c r="P101" s="304">
        <v>430.44</v>
      </c>
      <c r="Q101" s="172">
        <v>389.94</v>
      </c>
      <c r="R101" s="8">
        <f>+SUM(F101:Q101)</f>
        <v>2228.4899999999998</v>
      </c>
      <c r="S101" s="1">
        <f>COUNT(F101:Q101)</f>
        <v>10</v>
      </c>
      <c r="T101" s="32">
        <f>+IF(R101=0,0,R101/S101)</f>
        <v>222.84899999999999</v>
      </c>
      <c r="V101" s="321">
        <f t="shared" si="13"/>
        <v>0</v>
      </c>
      <c r="W101" s="321">
        <f t="shared" si="21"/>
        <v>0</v>
      </c>
      <c r="X101" s="321">
        <f t="shared" si="21"/>
        <v>0</v>
      </c>
      <c r="Y101" s="321">
        <f t="shared" si="21"/>
        <v>0</v>
      </c>
      <c r="Z101" s="321">
        <f t="shared" si="21"/>
        <v>0</v>
      </c>
      <c r="AA101" s="321">
        <f t="shared" si="21"/>
        <v>0</v>
      </c>
      <c r="AB101" s="321">
        <f t="shared" si="21"/>
        <v>0</v>
      </c>
      <c r="AC101" s="321">
        <f t="shared" si="21"/>
        <v>0</v>
      </c>
      <c r="AD101" s="321">
        <f t="shared" si="21"/>
        <v>0</v>
      </c>
      <c r="AE101" s="321">
        <f t="shared" si="21"/>
        <v>0</v>
      </c>
      <c r="AF101" s="321">
        <f t="shared" si="21"/>
        <v>1038.44</v>
      </c>
      <c r="AG101" s="70">
        <f t="shared" si="15"/>
        <v>1038.44</v>
      </c>
      <c r="AH101" s="321">
        <f t="shared" si="16"/>
        <v>1038.44</v>
      </c>
      <c r="AI101" s="331">
        <f t="shared" si="17"/>
        <v>0</v>
      </c>
    </row>
    <row r="102" spans="1:35" ht="10.5">
      <c r="A102" s="1" t="s">
        <v>705</v>
      </c>
      <c r="B102" s="4">
        <v>15056636</v>
      </c>
      <c r="D102" s="1" t="s">
        <v>712</v>
      </c>
      <c r="E102" s="1" t="s">
        <v>712</v>
      </c>
      <c r="F102" s="179"/>
      <c r="G102" s="273"/>
      <c r="H102" s="230"/>
      <c r="I102" s="237"/>
      <c r="J102" s="195"/>
      <c r="K102" s="238"/>
      <c r="L102" s="32"/>
      <c r="M102" s="32"/>
      <c r="N102" s="32"/>
      <c r="O102" s="220">
        <v>356</v>
      </c>
      <c r="P102" s="304">
        <v>283.47000000000003</v>
      </c>
      <c r="Q102" s="172">
        <v>161.96</v>
      </c>
      <c r="R102" s="8">
        <f>+SUM(F102:Q102)</f>
        <v>801.43000000000006</v>
      </c>
      <c r="S102" s="1">
        <f>COUNT(F102:Q102)</f>
        <v>3</v>
      </c>
      <c r="T102" s="32">
        <f>+IF(R102=0,0,R102/S102)</f>
        <v>267.14333333333337</v>
      </c>
      <c r="V102" s="321">
        <f t="shared" si="13"/>
        <v>0</v>
      </c>
      <c r="W102" s="321">
        <f t="shared" si="21"/>
        <v>0</v>
      </c>
      <c r="X102" s="321">
        <f t="shared" si="21"/>
        <v>0</v>
      </c>
      <c r="Y102" s="321">
        <f t="shared" si="21"/>
        <v>0</v>
      </c>
      <c r="Z102" s="321">
        <f t="shared" si="21"/>
        <v>0</v>
      </c>
      <c r="AA102" s="321">
        <f t="shared" si="21"/>
        <v>0</v>
      </c>
      <c r="AB102" s="321">
        <f t="shared" si="21"/>
        <v>0</v>
      </c>
      <c r="AC102" s="321">
        <f t="shared" si="21"/>
        <v>0</v>
      </c>
      <c r="AD102" s="321">
        <f t="shared" si="21"/>
        <v>0</v>
      </c>
      <c r="AE102" s="321">
        <f t="shared" si="21"/>
        <v>0</v>
      </c>
      <c r="AF102" s="321">
        <f t="shared" si="21"/>
        <v>0</v>
      </c>
      <c r="AG102" s="70">
        <f t="shared" si="15"/>
        <v>0</v>
      </c>
      <c r="AH102" s="321">
        <f t="shared" si="16"/>
        <v>0</v>
      </c>
      <c r="AI102" s="331">
        <f t="shared" si="17"/>
        <v>0</v>
      </c>
    </row>
    <row r="103" spans="1:35" ht="10.5">
      <c r="A103" s="1" t="s">
        <v>705</v>
      </c>
      <c r="B103" s="4">
        <v>15057226</v>
      </c>
      <c r="D103" s="1" t="s">
        <v>716</v>
      </c>
      <c r="E103" s="1" t="s">
        <v>713</v>
      </c>
      <c r="F103" s="179"/>
      <c r="G103" s="273"/>
      <c r="H103" s="230"/>
      <c r="I103" s="237"/>
      <c r="J103" s="195"/>
      <c r="K103" s="238"/>
      <c r="L103" s="32"/>
      <c r="M103" s="32"/>
      <c r="N103" s="32"/>
      <c r="O103" s="220">
        <v>177.23</v>
      </c>
      <c r="P103" s="304">
        <v>107.53</v>
      </c>
      <c r="Q103" s="172">
        <v>29.33</v>
      </c>
      <c r="R103" s="8">
        <f>+SUM(F103:Q103)</f>
        <v>314.08999999999997</v>
      </c>
      <c r="S103" s="1">
        <f>COUNT(F103:Q103)</f>
        <v>3</v>
      </c>
      <c r="T103" s="32">
        <f>+IF(R103=0,0,R103/S103)</f>
        <v>104.69666666666666</v>
      </c>
      <c r="V103" s="321">
        <f t="shared" si="13"/>
        <v>0</v>
      </c>
      <c r="W103" s="321">
        <f t="shared" si="21"/>
        <v>0</v>
      </c>
      <c r="X103" s="321">
        <f t="shared" si="21"/>
        <v>0</v>
      </c>
      <c r="Y103" s="321">
        <f t="shared" si="21"/>
        <v>0</v>
      </c>
      <c r="Z103" s="321">
        <f t="shared" si="21"/>
        <v>0</v>
      </c>
      <c r="AA103" s="321">
        <f t="shared" si="21"/>
        <v>0</v>
      </c>
      <c r="AB103" s="321">
        <f t="shared" si="21"/>
        <v>0</v>
      </c>
      <c r="AC103" s="321">
        <f t="shared" si="21"/>
        <v>0</v>
      </c>
      <c r="AD103" s="321">
        <f t="shared" si="21"/>
        <v>0</v>
      </c>
      <c r="AE103" s="321">
        <f t="shared" si="21"/>
        <v>0</v>
      </c>
      <c r="AF103" s="321">
        <f t="shared" si="21"/>
        <v>0</v>
      </c>
      <c r="AG103" s="70">
        <f t="shared" si="15"/>
        <v>0</v>
      </c>
      <c r="AH103" s="321">
        <f t="shared" si="16"/>
        <v>0</v>
      </c>
      <c r="AI103" s="331">
        <f t="shared" si="17"/>
        <v>0</v>
      </c>
    </row>
    <row r="104" spans="1:35" ht="10.5">
      <c r="A104" s="1" t="s">
        <v>705</v>
      </c>
      <c r="B104" s="4">
        <v>15055433</v>
      </c>
      <c r="D104" s="1" t="s">
        <v>706</v>
      </c>
      <c r="E104" s="1" t="s">
        <v>706</v>
      </c>
      <c r="F104" s="180"/>
      <c r="G104" s="185"/>
      <c r="H104" s="233"/>
      <c r="I104" s="234">
        <v>83.34</v>
      </c>
      <c r="J104" s="248">
        <v>105</v>
      </c>
      <c r="K104" s="248">
        <v>36</v>
      </c>
      <c r="L104" s="248"/>
      <c r="M104" s="329">
        <v>79.599999999999994</v>
      </c>
      <c r="N104" s="329">
        <v>49.96</v>
      </c>
      <c r="R104" s="8">
        <f t="shared" si="18"/>
        <v>353.9</v>
      </c>
      <c r="S104" s="8">
        <f t="shared" si="19"/>
        <v>5</v>
      </c>
      <c r="T104" s="8">
        <f t="shared" si="20"/>
        <v>70.78</v>
      </c>
      <c r="V104" s="321">
        <f t="shared" si="13"/>
        <v>0</v>
      </c>
      <c r="W104" s="321">
        <f t="shared" si="21"/>
        <v>0</v>
      </c>
      <c r="X104" s="321">
        <f t="shared" si="21"/>
        <v>0</v>
      </c>
      <c r="Y104" s="321">
        <f t="shared" si="21"/>
        <v>0</v>
      </c>
      <c r="Z104" s="321">
        <f t="shared" si="21"/>
        <v>0</v>
      </c>
      <c r="AA104" s="321">
        <f t="shared" si="21"/>
        <v>0</v>
      </c>
      <c r="AB104" s="321">
        <f t="shared" si="21"/>
        <v>0</v>
      </c>
      <c r="AC104" s="321">
        <f t="shared" si="21"/>
        <v>0</v>
      </c>
      <c r="AD104" s="321">
        <f t="shared" si="21"/>
        <v>0</v>
      </c>
      <c r="AE104" s="321">
        <f t="shared" si="21"/>
        <v>0</v>
      </c>
      <c r="AF104" s="321">
        <f t="shared" si="21"/>
        <v>224.34</v>
      </c>
      <c r="AG104" s="70">
        <f>+SUM(V104:AF104)</f>
        <v>224.34</v>
      </c>
      <c r="AH104" s="321">
        <f t="shared" si="16"/>
        <v>224.34</v>
      </c>
      <c r="AI104" s="331">
        <f t="shared" si="17"/>
        <v>0</v>
      </c>
    </row>
    <row r="105" spans="1:35" ht="10.5">
      <c r="A105" s="325"/>
      <c r="B105" s="325"/>
      <c r="C105" s="325"/>
      <c r="D105" s="325" t="s">
        <v>140</v>
      </c>
      <c r="E105" s="325" t="s">
        <v>140</v>
      </c>
      <c r="F105" s="326">
        <f t="shared" ref="F105:R105" si="22">+SUM(F2:F104)</f>
        <v>1045247.1299999995</v>
      </c>
      <c r="G105" s="326">
        <f t="shared" si="22"/>
        <v>874411.8200000003</v>
      </c>
      <c r="H105" s="326">
        <f t="shared" si="22"/>
        <v>1290970.8799999997</v>
      </c>
      <c r="I105" s="326">
        <f t="shared" si="22"/>
        <v>1760157.6529999999</v>
      </c>
      <c r="J105" s="326">
        <f t="shared" si="22"/>
        <v>1148871.6600000004</v>
      </c>
      <c r="K105" s="326">
        <f t="shared" si="22"/>
        <v>784696.11999999988</v>
      </c>
      <c r="L105" s="326">
        <f t="shared" si="22"/>
        <v>902684.20000000042</v>
      </c>
      <c r="M105" s="326">
        <f t="shared" si="22"/>
        <v>913847.36000000022</v>
      </c>
      <c r="N105" s="326">
        <f t="shared" si="22"/>
        <v>1334010.4199999997</v>
      </c>
      <c r="O105" s="326">
        <f t="shared" si="22"/>
        <v>1643895.63</v>
      </c>
      <c r="P105" s="326">
        <f t="shared" si="22"/>
        <v>1637946.1999999997</v>
      </c>
      <c r="Q105" s="326">
        <f t="shared" si="22"/>
        <v>1359240.8899999997</v>
      </c>
      <c r="R105" s="326">
        <f t="shared" si="22"/>
        <v>14695979.962999998</v>
      </c>
      <c r="S105" s="325"/>
      <c r="T105" s="326">
        <f>+R105/10</f>
        <v>1469597.9962999998</v>
      </c>
      <c r="V105" s="321">
        <f t="shared" ref="V105:AH105" si="23">+SUM(V2:V104)</f>
        <v>15221.880000000001</v>
      </c>
      <c r="W105" s="321">
        <f t="shared" si="23"/>
        <v>504508.31999999995</v>
      </c>
      <c r="X105" s="321">
        <f t="shared" si="23"/>
        <v>1024571.35</v>
      </c>
      <c r="Y105" s="321">
        <f t="shared" si="23"/>
        <v>776983.45</v>
      </c>
      <c r="Z105" s="321">
        <f t="shared" si="23"/>
        <v>119491.94</v>
      </c>
      <c r="AA105" s="321">
        <f t="shared" si="23"/>
        <v>1719856.9</v>
      </c>
      <c r="AB105" s="321">
        <f t="shared" si="23"/>
        <v>503676.29000000004</v>
      </c>
      <c r="AC105" s="321">
        <f t="shared" si="23"/>
        <v>623616.19300000009</v>
      </c>
      <c r="AD105" s="321">
        <f t="shared" si="23"/>
        <v>714816.61000000022</v>
      </c>
      <c r="AE105" s="321">
        <f t="shared" si="23"/>
        <v>647243.32999999996</v>
      </c>
      <c r="AF105" s="321">
        <f t="shared" si="23"/>
        <v>254368.99999999994</v>
      </c>
      <c r="AG105" s="321">
        <f t="shared" si="23"/>
        <v>6904355.2629999993</v>
      </c>
      <c r="AH105" s="321">
        <f t="shared" si="23"/>
        <v>6904355.2629999993</v>
      </c>
    </row>
    <row r="106" spans="1:35" ht="10.5">
      <c r="D106" s="1" t="s">
        <v>348</v>
      </c>
      <c r="E106" s="1" t="s">
        <v>348</v>
      </c>
      <c r="F106" s="68">
        <f>-F98-F90-F87-F83-F81-F71-F35-F22-F20-F10-F9-F95</f>
        <v>-63152.119999999995</v>
      </c>
      <c r="G106" s="68">
        <f>-G98-G93-G87-G83-G81-G79-G71-G52-G35-G20-G10-G100-G95</f>
        <v>-27135.08</v>
      </c>
      <c r="H106" s="68">
        <f>-H98-H94-H93-H91-H90-H88-H83-H81-H79-H7-H63-H62-H61-H59-H58-H57-H56-H50-H48-H39-H19-H20-H17-H10-H9-H95</f>
        <v>-215118.84999999998</v>
      </c>
      <c r="I106" s="68">
        <f>-I101-I99-I93-I91-I90-I83-I79-I7-I56-I52-I17-I11-I10-I9-I86-I80-I85-I95</f>
        <v>-157731.85</v>
      </c>
      <c r="J106" s="68">
        <f>-J104-J94-J93-J92-J90-J88-J87-J83-J81-J79-J56-J52-J49-J20-J17-J11-J10-J9-J85-J95</f>
        <v>-51699.03</v>
      </c>
      <c r="K106" s="68">
        <f>-K83-K104-K97-K96-K93-K92-K90-K88-K87-K81-K80-K79-K52-K49-K20-K11-K10-K9-K3+L92-K85-K95</f>
        <v>-51777.66</v>
      </c>
      <c r="L106" s="68">
        <f>-L104-L101-L99-L93-L90-L88-L87-L86-L83-L81-L80-L79-L52-L49-L42-L20-L11-L9-L92-L85-L95</f>
        <v>-18203.370000000003</v>
      </c>
      <c r="M106" s="68">
        <f>-M104-M101-M99-M97-M94-M92-M90-M88-M87-M86-M81-M80-M79-M51-M49-M42-M41-M10-M9-M2-M85-M95</f>
        <v>-92238.589999999982</v>
      </c>
      <c r="N106" s="68">
        <f>-N98-N93-N92-N90-N88-N87-N86-N83-N81-N80-N79-N52-N42-N20-N10-N9-N85-N95</f>
        <v>-54883.94</v>
      </c>
      <c r="O106" s="68">
        <f>-O104-O92-O86-O85-O83-O81-O80-O79-O74-O52-O42-O20-O9-O95</f>
        <v>-23472.38</v>
      </c>
      <c r="P106" s="68">
        <f>-P104-P98-P94-P90-P87-P83-P81-P80-P79-P42-P39-P20-P9-P95</f>
        <v>-22068.81</v>
      </c>
      <c r="Q106" s="68">
        <f>-Q92-Q90-Q87-Q86-Q83-Q81-Q80-Q79-Q52-Q49-Q42-Q39-Q20-Q19-Q9-Q95</f>
        <v>-57155.270000000004</v>
      </c>
      <c r="R106" s="31">
        <f t="shared" ref="R106:R114" si="24">+SUM(F106:Q106)</f>
        <v>-834636.95000000007</v>
      </c>
      <c r="V106" s="321"/>
      <c r="W106" s="321"/>
      <c r="X106" s="321"/>
      <c r="Y106" s="321"/>
      <c r="Z106" s="321"/>
      <c r="AA106" s="321"/>
      <c r="AB106" s="321"/>
      <c r="AC106" s="321"/>
      <c r="AD106" s="321"/>
      <c r="AE106" s="321"/>
      <c r="AF106" s="321"/>
      <c r="AG106" s="321"/>
    </row>
    <row r="107" spans="1:35">
      <c r="D107" s="1" t="s">
        <v>349</v>
      </c>
      <c r="E107" s="1" t="s">
        <v>349</v>
      </c>
      <c r="F107" s="68">
        <f>'2016'!Q78+'2016'!Q71+'2016'!Q25+5500</f>
        <v>24650.28</v>
      </c>
      <c r="G107" s="68">
        <f>F9+'2016'!Q11+F22+5500</f>
        <v>38930.03</v>
      </c>
      <c r="H107" s="68">
        <f>G100+G52+G10+'2016'!Q13</f>
        <v>62556.89</v>
      </c>
      <c r="I107" s="68">
        <f>5500+'2016'!L24+'2016'!N24+'2016'!O24+'2016'!P24+'2016'!Q24+H98+G98+H63+H62+H61+H59+H58+H57+H50+H39+H20+G20+F20+H48+H19+1678.85</f>
        <v>160171.06000000003</v>
      </c>
      <c r="J107" s="68">
        <f>5500+K83+I101+I99+H94+I91+I86+H10+H7+I7+I52</f>
        <v>186644.88999999998</v>
      </c>
      <c r="K107" s="68">
        <f>5500+I80+J52</f>
        <v>5738.12</v>
      </c>
      <c r="L107" s="68">
        <f>J17+I17+H17+K10+J10+I10+F10+K3</f>
        <v>153846.46</v>
      </c>
      <c r="M107" s="68">
        <f>1981.59+L52+K52+L20+K20+J20+L9+K9+J9+I9+H9</f>
        <v>23350.949999999997</v>
      </c>
      <c r="N107" s="68">
        <f>M104+K104+J104+M51+M49+L49+K49+J49+M41+M2</f>
        <v>85005.63</v>
      </c>
      <c r="O107" s="68">
        <f>+N98+N90+N10+M10</f>
        <v>62246.340000000004</v>
      </c>
      <c r="P107" s="68">
        <f>O85+N85+M85+L85+K85+J85+I85+O52</f>
        <v>1820.04</v>
      </c>
      <c r="Q107" s="68">
        <f>P98+P83+O83+N83</f>
        <v>5650.9600000000009</v>
      </c>
      <c r="R107" s="31">
        <f t="shared" si="24"/>
        <v>810611.64999999991</v>
      </c>
    </row>
    <row r="108" spans="1:35">
      <c r="D108" s="1" t="s">
        <v>301</v>
      </c>
      <c r="E108" s="1" t="s">
        <v>301</v>
      </c>
      <c r="F108" s="69">
        <f t="shared" ref="F108:Q108" si="25">+SUM(F105:F107)</f>
        <v>1006745.2899999996</v>
      </c>
      <c r="G108" s="69">
        <f t="shared" si="25"/>
        <v>886206.77000000037</v>
      </c>
      <c r="H108" s="69">
        <f t="shared" si="25"/>
        <v>1138408.9199999997</v>
      </c>
      <c r="I108" s="69">
        <f t="shared" si="25"/>
        <v>1762596.8629999999</v>
      </c>
      <c r="J108" s="69">
        <f t="shared" si="25"/>
        <v>1283817.5200000003</v>
      </c>
      <c r="K108" s="69">
        <f t="shared" si="25"/>
        <v>738656.57999999984</v>
      </c>
      <c r="L108" s="69">
        <f t="shared" si="25"/>
        <v>1038327.2900000004</v>
      </c>
      <c r="M108" s="69">
        <f t="shared" si="25"/>
        <v>844959.7200000002</v>
      </c>
      <c r="N108" s="69">
        <f t="shared" si="25"/>
        <v>1364132.1099999999</v>
      </c>
      <c r="O108" s="69">
        <f t="shared" si="25"/>
        <v>1682669.59</v>
      </c>
      <c r="P108" s="69">
        <f t="shared" si="25"/>
        <v>1617697.4299999997</v>
      </c>
      <c r="Q108" s="69">
        <f t="shared" si="25"/>
        <v>1307736.5799999996</v>
      </c>
      <c r="R108" s="34">
        <f t="shared" si="24"/>
        <v>14671954.662999999</v>
      </c>
    </row>
    <row r="109" spans="1:35">
      <c r="D109" s="67" t="s">
        <v>304</v>
      </c>
      <c r="E109" s="67" t="s">
        <v>304</v>
      </c>
      <c r="F109" s="68">
        <f>+F108/6*4</f>
        <v>671163.52666666638</v>
      </c>
      <c r="G109" s="68">
        <f>+G108/6*4</f>
        <v>590804.51333333354</v>
      </c>
      <c r="H109" s="68">
        <f>+H108/8.5*4</f>
        <v>535721.84470588225</v>
      </c>
      <c r="I109" s="68">
        <f t="shared" ref="I109:Q109" si="26">+I108/8.5*4</f>
        <v>829457.34729411756</v>
      </c>
      <c r="J109" s="68">
        <f t="shared" si="26"/>
        <v>604149.4211764707</v>
      </c>
      <c r="K109" s="68">
        <f t="shared" si="26"/>
        <v>347603.09647058818</v>
      </c>
      <c r="L109" s="68">
        <f t="shared" si="26"/>
        <v>488624.60705882369</v>
      </c>
      <c r="M109" s="68">
        <f t="shared" si="26"/>
        <v>397628.10352941183</v>
      </c>
      <c r="N109" s="68">
        <f t="shared" si="26"/>
        <v>641944.5223529411</v>
      </c>
      <c r="O109" s="68">
        <f t="shared" si="26"/>
        <v>791844.51294117654</v>
      </c>
      <c r="P109" s="68">
        <f t="shared" si="26"/>
        <v>761269.37882352923</v>
      </c>
      <c r="Q109" s="68">
        <f t="shared" si="26"/>
        <v>615405.44941176451</v>
      </c>
      <c r="R109" s="31">
        <f t="shared" si="24"/>
        <v>7275616.3237647051</v>
      </c>
    </row>
    <row r="110" spans="1:35">
      <c r="D110" s="67" t="s">
        <v>305</v>
      </c>
      <c r="E110" s="67" t="s">
        <v>305</v>
      </c>
      <c r="F110" s="68">
        <f>+F108/6*2</f>
        <v>335581.76333333319</v>
      </c>
      <c r="G110" s="68">
        <f>+G108/6*2</f>
        <v>295402.25666666677</v>
      </c>
      <c r="H110" s="68">
        <f>+H108/8.5*2</f>
        <v>267860.92235294112</v>
      </c>
      <c r="I110" s="68">
        <f t="shared" ref="I110:Q110" si="27">+I108/8.5*2</f>
        <v>414728.67364705878</v>
      </c>
      <c r="J110" s="68">
        <f t="shared" si="27"/>
        <v>302074.71058823535</v>
      </c>
      <c r="K110" s="68">
        <f t="shared" si="27"/>
        <v>173801.54823529409</v>
      </c>
      <c r="L110" s="68">
        <f t="shared" si="27"/>
        <v>244312.30352941185</v>
      </c>
      <c r="M110" s="68">
        <f t="shared" si="27"/>
        <v>198814.05176470592</v>
      </c>
      <c r="N110" s="68">
        <f t="shared" si="27"/>
        <v>320972.26117647055</v>
      </c>
      <c r="O110" s="68">
        <f t="shared" si="27"/>
        <v>395922.25647058827</v>
      </c>
      <c r="P110" s="68">
        <f t="shared" si="27"/>
        <v>380634.68941176462</v>
      </c>
      <c r="Q110" s="68">
        <f t="shared" si="27"/>
        <v>307702.72470588225</v>
      </c>
      <c r="R110" s="31">
        <f t="shared" si="24"/>
        <v>3637808.1618823525</v>
      </c>
    </row>
    <row r="111" spans="1:35">
      <c r="D111" s="1" t="s">
        <v>302</v>
      </c>
      <c r="E111" s="1" t="s">
        <v>302</v>
      </c>
      <c r="F111" s="312">
        <f t="shared" ref="F111:Q111" si="28">+F110*0.01</f>
        <v>3355.8176333333322</v>
      </c>
      <c r="G111" s="312">
        <f t="shared" si="28"/>
        <v>2954.0225666666679</v>
      </c>
      <c r="H111" s="312">
        <f t="shared" si="28"/>
        <v>2678.6092235294113</v>
      </c>
      <c r="I111" s="68">
        <f t="shared" si="28"/>
        <v>4147.286736470588</v>
      </c>
      <c r="J111" s="68">
        <f t="shared" si="28"/>
        <v>3020.7471058823535</v>
      </c>
      <c r="K111" s="68">
        <f t="shared" si="28"/>
        <v>1738.015482352941</v>
      </c>
      <c r="L111" s="68">
        <f t="shared" si="28"/>
        <v>2443.1230352941184</v>
      </c>
      <c r="M111" s="68">
        <f t="shared" si="28"/>
        <v>1988.1405176470591</v>
      </c>
      <c r="N111" s="68">
        <f t="shared" si="28"/>
        <v>3209.7226117647056</v>
      </c>
      <c r="O111" s="68">
        <f t="shared" si="28"/>
        <v>3959.2225647058826</v>
      </c>
      <c r="P111" s="68">
        <f t="shared" si="28"/>
        <v>3806.3468941176461</v>
      </c>
      <c r="Q111" s="68">
        <f t="shared" si="28"/>
        <v>3077.0272470588225</v>
      </c>
      <c r="R111" s="31">
        <f t="shared" si="24"/>
        <v>36378.081618823533</v>
      </c>
    </row>
    <row r="112" spans="1:35">
      <c r="D112" s="1" t="s">
        <v>702</v>
      </c>
      <c r="E112" s="1" t="s">
        <v>702</v>
      </c>
      <c r="F112" s="312"/>
      <c r="G112" s="312"/>
      <c r="H112" s="68">
        <f>+H108/8.5*2</f>
        <v>267860.92235294112</v>
      </c>
      <c r="I112" s="68">
        <f t="shared" ref="I112:Q112" si="29">+I108/8.5*2</f>
        <v>414728.67364705878</v>
      </c>
      <c r="J112" s="68">
        <f t="shared" si="29"/>
        <v>302074.71058823535</v>
      </c>
      <c r="K112" s="68">
        <f t="shared" si="29"/>
        <v>173801.54823529409</v>
      </c>
      <c r="L112" s="68">
        <f t="shared" si="29"/>
        <v>244312.30352941185</v>
      </c>
      <c r="M112" s="68">
        <f t="shared" si="29"/>
        <v>198814.05176470592</v>
      </c>
      <c r="N112" s="68">
        <f t="shared" si="29"/>
        <v>320972.26117647055</v>
      </c>
      <c r="O112" s="68">
        <f t="shared" si="29"/>
        <v>395922.25647058827</v>
      </c>
      <c r="P112" s="68">
        <f t="shared" si="29"/>
        <v>380634.68941176462</v>
      </c>
      <c r="Q112" s="68">
        <f t="shared" si="29"/>
        <v>307702.72470588225</v>
      </c>
      <c r="R112" s="31">
        <f t="shared" si="24"/>
        <v>3006824.141882353</v>
      </c>
      <c r="T112" s="8"/>
    </row>
    <row r="113" spans="2:20">
      <c r="D113" s="1" t="s">
        <v>703</v>
      </c>
      <c r="E113" s="1" t="s">
        <v>703</v>
      </c>
      <c r="F113" s="312"/>
      <c r="G113" s="312"/>
      <c r="H113" s="68">
        <f>+H108/8.5*0.5</f>
        <v>66965.230588235281</v>
      </c>
      <c r="I113" s="68">
        <f t="shared" ref="I113:Q113" si="30">+I108/8.5*0.5</f>
        <v>103682.16841176469</v>
      </c>
      <c r="J113" s="68">
        <f t="shared" si="30"/>
        <v>75518.677647058837</v>
      </c>
      <c r="K113" s="68">
        <f t="shared" si="30"/>
        <v>43450.387058823522</v>
      </c>
      <c r="L113" s="68">
        <f t="shared" si="30"/>
        <v>61078.075882352961</v>
      </c>
      <c r="M113" s="68">
        <f t="shared" si="30"/>
        <v>49703.512941176479</v>
      </c>
      <c r="N113" s="68">
        <f t="shared" si="30"/>
        <v>80243.065294117638</v>
      </c>
      <c r="O113" s="68">
        <f t="shared" si="30"/>
        <v>98980.564117647067</v>
      </c>
      <c r="P113" s="68">
        <f t="shared" si="30"/>
        <v>95158.672352941154</v>
      </c>
      <c r="Q113" s="68">
        <f t="shared" si="30"/>
        <v>76925.681176470564</v>
      </c>
      <c r="R113" s="31">
        <f t="shared" si="24"/>
        <v>751706.03547058825</v>
      </c>
      <c r="T113" s="8"/>
    </row>
    <row r="114" spans="2:20">
      <c r="D114" s="1" t="s">
        <v>303</v>
      </c>
      <c r="E114" s="1" t="s">
        <v>303</v>
      </c>
      <c r="F114" s="71">
        <f t="shared" ref="F114:Q114" si="31">+F109-F111</f>
        <v>667807.709033333</v>
      </c>
      <c r="G114" s="71">
        <f t="shared" si="31"/>
        <v>587850.49076666683</v>
      </c>
      <c r="H114" s="71">
        <f t="shared" si="31"/>
        <v>533043.23548235279</v>
      </c>
      <c r="I114" s="71">
        <f t="shared" si="31"/>
        <v>825310.06055764703</v>
      </c>
      <c r="J114" s="71">
        <f t="shared" si="31"/>
        <v>601128.67407058831</v>
      </c>
      <c r="K114" s="71">
        <f t="shared" si="31"/>
        <v>345865.08098823525</v>
      </c>
      <c r="L114" s="71">
        <f t="shared" si="31"/>
        <v>486181.48402352957</v>
      </c>
      <c r="M114" s="71">
        <f t="shared" si="31"/>
        <v>395639.96301176475</v>
      </c>
      <c r="N114" s="71">
        <f t="shared" si="31"/>
        <v>638734.79974117642</v>
      </c>
      <c r="O114" s="71">
        <f t="shared" si="31"/>
        <v>787885.29037647066</v>
      </c>
      <c r="P114" s="71">
        <f t="shared" si="31"/>
        <v>757463.03192941158</v>
      </c>
      <c r="Q114" s="71">
        <f t="shared" si="31"/>
        <v>612328.4221647057</v>
      </c>
      <c r="R114" s="34">
        <f t="shared" si="24"/>
        <v>7239238.242145882</v>
      </c>
    </row>
    <row r="115" spans="2:20">
      <c r="F115" s="10"/>
      <c r="G115" s="70"/>
      <c r="H115" s="70"/>
      <c r="I115" s="70"/>
      <c r="J115" s="70"/>
      <c r="K115" s="68"/>
      <c r="L115" s="70"/>
      <c r="N115" s="70"/>
      <c r="O115" s="68"/>
      <c r="R115" s="31"/>
    </row>
    <row r="116" spans="2:20">
      <c r="E116" s="1" t="s">
        <v>637</v>
      </c>
      <c r="F116" s="70">
        <v>689131.48</v>
      </c>
      <c r="G116" s="70">
        <v>587850.49</v>
      </c>
      <c r="H116" s="70">
        <v>533043.24</v>
      </c>
      <c r="I116" s="70">
        <v>825310.06</v>
      </c>
      <c r="J116" s="70">
        <v>601128.67000000004</v>
      </c>
      <c r="K116" s="70">
        <v>345865.08</v>
      </c>
      <c r="L116" s="70">
        <v>486181.48</v>
      </c>
      <c r="M116" s="70">
        <v>395639.96</v>
      </c>
      <c r="N116" s="70">
        <v>638734.80000000005</v>
      </c>
      <c r="O116" s="70">
        <v>787885.29</v>
      </c>
      <c r="P116" s="70">
        <v>757463.03</v>
      </c>
      <c r="Q116" s="8">
        <v>612328.42000000004</v>
      </c>
      <c r="R116" s="70">
        <f>SUM(F116:Q116)</f>
        <v>7260562</v>
      </c>
    </row>
    <row r="117" spans="2:20">
      <c r="E117" s="1" t="s">
        <v>648</v>
      </c>
      <c r="F117" s="70">
        <f t="shared" ref="F117:Q117" si="32">F116-F114</f>
        <v>21323.770966666983</v>
      </c>
      <c r="G117" s="70">
        <f t="shared" si="32"/>
        <v>-7.666668388992548E-4</v>
      </c>
      <c r="H117" s="70">
        <f t="shared" si="32"/>
        <v>4.5176472049206495E-3</v>
      </c>
      <c r="I117" s="70">
        <f t="shared" si="32"/>
        <v>-5.5764697026461363E-4</v>
      </c>
      <c r="J117" s="70">
        <f t="shared" si="32"/>
        <v>-4.0705882711336017E-3</v>
      </c>
      <c r="K117" s="70">
        <f t="shared" si="32"/>
        <v>-9.882352314889431E-4</v>
      </c>
      <c r="L117" s="70">
        <f t="shared" si="32"/>
        <v>-4.023529589176178E-3</v>
      </c>
      <c r="M117" s="70">
        <f t="shared" si="32"/>
        <v>-3.0117647256702185E-3</v>
      </c>
      <c r="N117" s="70">
        <f t="shared" si="32"/>
        <v>2.5882362388074398E-4</v>
      </c>
      <c r="O117" s="70">
        <f t="shared" si="32"/>
        <v>-3.7647061981260777E-4</v>
      </c>
      <c r="P117" s="70">
        <f t="shared" si="32"/>
        <v>-1.9294115481898189E-3</v>
      </c>
      <c r="Q117" s="70">
        <f t="shared" si="32"/>
        <v>-2.1647056564688683E-3</v>
      </c>
      <c r="R117" s="70">
        <f>SUM(F117:Q117)</f>
        <v>21323.757854118361</v>
      </c>
    </row>
    <row r="118" spans="2:20">
      <c r="D118" s="70"/>
      <c r="E118" s="70"/>
      <c r="F118" s="70"/>
      <c r="G118" s="70"/>
      <c r="H118" s="70"/>
      <c r="I118" s="8"/>
      <c r="J118" s="70"/>
      <c r="M118" s="70"/>
      <c r="N118" s="70"/>
      <c r="O118" s="70"/>
    </row>
    <row r="119" spans="2:20" s="137" customFormat="1">
      <c r="B119" s="137" t="s">
        <v>390</v>
      </c>
      <c r="P119" s="68"/>
      <c r="R119" s="137">
        <f>+SUM(F119:Q119)</f>
        <v>0</v>
      </c>
    </row>
    <row r="120" spans="2:20" s="158" customFormat="1">
      <c r="B120" s="158" t="s">
        <v>389</v>
      </c>
      <c r="M120" s="158">
        <f>+M119*0.06</f>
        <v>0</v>
      </c>
      <c r="N120" s="158">
        <f>+N119*0.06</f>
        <v>0</v>
      </c>
      <c r="O120" s="158">
        <f>+O119*0.06</f>
        <v>0</v>
      </c>
      <c r="P120" s="158">
        <f>+P119*0.06</f>
        <v>0</v>
      </c>
      <c r="Q120" s="158">
        <f>+Q119*0.06</f>
        <v>0</v>
      </c>
      <c r="R120" s="137">
        <f>+SUM(F120:Q120)</f>
        <v>0</v>
      </c>
    </row>
    <row r="121" spans="2:20" s="158" customFormat="1">
      <c r="B121" s="159" t="s">
        <v>391</v>
      </c>
      <c r="C121" s="159"/>
      <c r="D121" s="159"/>
      <c r="E121" s="159"/>
      <c r="F121" s="219">
        <f t="shared" ref="F121:N121" si="33">+F108-F120</f>
        <v>1006745.2899999996</v>
      </c>
      <c r="G121" s="219">
        <f t="shared" si="33"/>
        <v>886206.77000000037</v>
      </c>
      <c r="H121" s="219">
        <f t="shared" si="33"/>
        <v>1138408.9199999997</v>
      </c>
      <c r="I121" s="219">
        <f t="shared" si="33"/>
        <v>1762596.8629999999</v>
      </c>
      <c r="J121" s="219">
        <f t="shared" si="33"/>
        <v>1283817.5200000003</v>
      </c>
      <c r="K121" s="219">
        <f t="shared" si="33"/>
        <v>738656.57999999984</v>
      </c>
      <c r="L121" s="219">
        <f t="shared" si="33"/>
        <v>1038327.2900000004</v>
      </c>
      <c r="M121" s="219">
        <f t="shared" si="33"/>
        <v>844959.7200000002</v>
      </c>
      <c r="N121" s="219">
        <f t="shared" si="33"/>
        <v>1364132.1099999999</v>
      </c>
      <c r="O121" s="159"/>
      <c r="P121" s="159"/>
      <c r="Q121" s="159"/>
      <c r="R121" s="160">
        <f>+SUM(F121:Q121)</f>
        <v>10063851.062999999</v>
      </c>
    </row>
    <row r="122" spans="2:20" s="78" customFormat="1">
      <c r="B122" s="78" t="s">
        <v>392</v>
      </c>
      <c r="F122" s="78" t="str">
        <f t="shared" ref="F122:Q122" si="34">+IF(F119=0," ",F121/F120)</f>
        <v xml:space="preserve"> </v>
      </c>
      <c r="G122" s="78" t="str">
        <f t="shared" si="34"/>
        <v xml:space="preserve"> </v>
      </c>
      <c r="H122" s="78" t="str">
        <f t="shared" si="34"/>
        <v xml:space="preserve"> </v>
      </c>
      <c r="I122" s="78" t="str">
        <f t="shared" si="34"/>
        <v xml:space="preserve"> </v>
      </c>
      <c r="J122" s="78" t="str">
        <f t="shared" si="34"/>
        <v xml:space="preserve"> </v>
      </c>
      <c r="K122" s="78" t="str">
        <f t="shared" si="34"/>
        <v xml:space="preserve"> </v>
      </c>
      <c r="L122" s="78" t="str">
        <f t="shared" si="34"/>
        <v xml:space="preserve"> </v>
      </c>
      <c r="M122" s="78" t="str">
        <f t="shared" si="34"/>
        <v xml:space="preserve"> </v>
      </c>
      <c r="N122" s="78" t="str">
        <f t="shared" si="34"/>
        <v xml:space="preserve"> </v>
      </c>
      <c r="O122" s="78" t="str">
        <f t="shared" si="34"/>
        <v xml:space="preserve"> </v>
      </c>
      <c r="P122" s="78" t="str">
        <f t="shared" si="34"/>
        <v xml:space="preserve"> </v>
      </c>
      <c r="Q122" s="78" t="str">
        <f t="shared" si="34"/>
        <v xml:space="preserve"> </v>
      </c>
      <c r="R122" s="330" t="e">
        <f>+R121/R120</f>
        <v>#DIV/0!</v>
      </c>
    </row>
    <row r="123" spans="2:20">
      <c r="H123" s="328" t="s">
        <v>699</v>
      </c>
    </row>
    <row r="124" spans="2:20">
      <c r="H124" s="328" t="s">
        <v>700</v>
      </c>
    </row>
    <row r="125" spans="2:20">
      <c r="H125" s="328" t="s">
        <v>701</v>
      </c>
    </row>
  </sheetData>
  <printOptions horizontalCentered="1"/>
  <pageMargins left="0.25" right="0.25" top="0.5" bottom="0.25" header="0.25" footer="0.25"/>
  <pageSetup scale="35" fitToHeight="2" orientation="landscape" r:id="rId1"/>
  <headerFooter alignWithMargins="0">
    <oddHeader>&amp;C&amp;"Arial,Bold"&amp;11Occupancy Tax Receipts
Fiscal Year 2013</oddHead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R138"/>
  <sheetViews>
    <sheetView zoomScale="125" zoomScaleNormal="125" workbookViewId="0">
      <pane ySplit="1" topLeftCell="A123" activePane="bottomLeft" state="frozen"/>
      <selection activeCell="B1" sqref="B1"/>
      <selection pane="bottomLeft" activeCell="AH91" sqref="AH91"/>
    </sheetView>
  </sheetViews>
  <sheetFormatPr defaultColWidth="9.08984375" defaultRowHeight="10"/>
  <cols>
    <col min="1" max="1" width="10.54296875" style="1" customWidth="1"/>
    <col min="2" max="2" width="9.36328125" style="1" customWidth="1"/>
    <col min="3" max="3" width="27.36328125" style="1" hidden="1" customWidth="1"/>
    <col min="4" max="4" width="32.08984375" style="1" customWidth="1"/>
    <col min="5" max="5" width="12.6328125" style="1" hidden="1" customWidth="1"/>
    <col min="6" max="6" width="12.6328125" style="7" hidden="1" customWidth="1"/>
    <col min="7" max="13" width="12.6328125" style="1" hidden="1" customWidth="1"/>
    <col min="14" max="14" width="7.36328125" style="1" hidden="1" customWidth="1"/>
    <col min="15" max="19" width="12" style="1" customWidth="1"/>
    <col min="20" max="22" width="10.6328125" style="1" customWidth="1"/>
    <col min="23" max="23" width="11.54296875" style="1" customWidth="1"/>
    <col min="24" max="24" width="11.36328125" style="1" customWidth="1"/>
    <col min="25" max="25" width="12" style="1" customWidth="1"/>
    <col min="26" max="26" width="11.90625" style="1" customWidth="1"/>
    <col min="27" max="27" width="13.6328125" style="1" customWidth="1"/>
    <col min="28" max="28" width="9.08984375" style="1" hidden="1" customWidth="1"/>
    <col min="29" max="29" width="11.90625" style="1" customWidth="1"/>
    <col min="30" max="30" width="9.08984375" style="1"/>
    <col min="31" max="31" width="8.36328125" style="1" bestFit="1" customWidth="1"/>
    <col min="32" max="34" width="10.453125" style="1" bestFit="1" customWidth="1"/>
    <col min="35" max="35" width="9.36328125" style="1" bestFit="1" customWidth="1"/>
    <col min="36" max="36" width="10.453125" style="1" bestFit="1" customWidth="1"/>
    <col min="37" max="37" width="12" style="1" bestFit="1" customWidth="1"/>
    <col min="38" max="40" width="10.453125" style="1" bestFit="1" customWidth="1"/>
    <col min="41" max="41" width="9.36328125" style="1" bestFit="1" customWidth="1"/>
    <col min="42" max="43" width="11.36328125" style="1" bestFit="1" customWidth="1"/>
    <col min="44" max="44" width="9.36328125" style="1" bestFit="1" customWidth="1"/>
    <col min="45" max="16384" width="9.08984375" style="1"/>
  </cols>
  <sheetData>
    <row r="1" spans="1:44" s="17" customFormat="1" ht="21">
      <c r="A1" s="17" t="s">
        <v>523</v>
      </c>
      <c r="B1" s="14" t="s">
        <v>82</v>
      </c>
      <c r="C1" s="15" t="s">
        <v>524</v>
      </c>
      <c r="D1" s="15" t="s">
        <v>0</v>
      </c>
      <c r="E1" s="334" t="s">
        <v>736</v>
      </c>
      <c r="F1" s="339" t="s">
        <v>370</v>
      </c>
      <c r="G1" s="22" t="s">
        <v>829</v>
      </c>
      <c r="H1" s="334" t="s">
        <v>737</v>
      </c>
      <c r="I1" s="334" t="s">
        <v>738</v>
      </c>
      <c r="J1" s="22" t="s">
        <v>739</v>
      </c>
      <c r="K1" s="22" t="s">
        <v>740</v>
      </c>
      <c r="L1" s="335" t="s">
        <v>741</v>
      </c>
      <c r="M1" s="335" t="s">
        <v>742</v>
      </c>
      <c r="N1" s="334" t="s">
        <v>743</v>
      </c>
      <c r="O1" s="284" t="s">
        <v>717</v>
      </c>
      <c r="P1" s="261" t="s">
        <v>718</v>
      </c>
      <c r="Q1" s="262" t="s">
        <v>719</v>
      </c>
      <c r="R1" s="263" t="s">
        <v>720</v>
      </c>
      <c r="S1" s="264" t="s">
        <v>721</v>
      </c>
      <c r="T1" s="265" t="s">
        <v>722</v>
      </c>
      <c r="U1" s="266" t="s">
        <v>723</v>
      </c>
      <c r="V1" s="267" t="s">
        <v>724</v>
      </c>
      <c r="W1" s="268" t="s">
        <v>725</v>
      </c>
      <c r="X1" s="269" t="s">
        <v>726</v>
      </c>
      <c r="Y1" s="270" t="s">
        <v>727</v>
      </c>
      <c r="Z1" s="363" t="s">
        <v>728</v>
      </c>
      <c r="AA1" s="64" t="s">
        <v>143</v>
      </c>
      <c r="AB1" s="64"/>
      <c r="AC1" s="64" t="s">
        <v>142</v>
      </c>
      <c r="AE1" s="17" t="s">
        <v>539</v>
      </c>
      <c r="AF1" s="17" t="s">
        <v>537</v>
      </c>
      <c r="AG1" s="17" t="s">
        <v>531</v>
      </c>
      <c r="AH1" s="17" t="s">
        <v>530</v>
      </c>
      <c r="AI1" s="17" t="s">
        <v>662</v>
      </c>
      <c r="AJ1" s="17" t="s">
        <v>535</v>
      </c>
      <c r="AK1" s="17" t="s">
        <v>533</v>
      </c>
      <c r="AL1" s="17" t="s">
        <v>659</v>
      </c>
      <c r="AM1" s="17" t="s">
        <v>658</v>
      </c>
      <c r="AN1" s="17" t="s">
        <v>660</v>
      </c>
      <c r="AO1" s="17" t="s">
        <v>705</v>
      </c>
    </row>
    <row r="2" spans="1:44" s="17" customFormat="1" ht="10.5">
      <c r="A2" s="1" t="s">
        <v>531</v>
      </c>
      <c r="B2" s="4">
        <v>15037984</v>
      </c>
      <c r="C2" s="1" t="s">
        <v>652</v>
      </c>
      <c r="D2" s="1" t="s">
        <v>653</v>
      </c>
      <c r="E2" s="336">
        <v>42429</v>
      </c>
      <c r="F2" s="7">
        <v>4549</v>
      </c>
      <c r="G2" s="1" t="s">
        <v>747</v>
      </c>
      <c r="H2" s="7">
        <v>88</v>
      </c>
      <c r="I2" s="7">
        <v>6</v>
      </c>
      <c r="J2" s="1"/>
      <c r="K2" s="1" t="s">
        <v>746</v>
      </c>
      <c r="L2" s="1" t="s">
        <v>745</v>
      </c>
      <c r="M2" s="333" t="s">
        <v>744</v>
      </c>
      <c r="N2" s="332">
        <v>40507</v>
      </c>
      <c r="O2" s="181">
        <v>27402.639999999999</v>
      </c>
      <c r="P2" s="184">
        <v>27029.49</v>
      </c>
      <c r="Q2" s="229">
        <v>33418.01</v>
      </c>
      <c r="R2" s="192">
        <v>49554.07</v>
      </c>
      <c r="S2" s="195">
        <v>29846.99</v>
      </c>
      <c r="T2" s="238">
        <v>23596.17</v>
      </c>
      <c r="U2" s="347">
        <v>21291.06</v>
      </c>
      <c r="V2" s="212">
        <v>20326.560000000001</v>
      </c>
      <c r="W2" s="350">
        <v>28268.37</v>
      </c>
      <c r="X2" s="220">
        <v>48331.34</v>
      </c>
      <c r="Y2" s="304">
        <v>39481</v>
      </c>
      <c r="Z2" s="172">
        <v>35217.199999999997</v>
      </c>
      <c r="AA2" s="8">
        <f t="shared" ref="AA2:AA34" si="0">+SUM(O2:Z2)</f>
        <v>383762.89999999997</v>
      </c>
      <c r="AB2" s="1">
        <f t="shared" ref="AB2:AB34" si="1">COUNT(O2:Z2)</f>
        <v>12</v>
      </c>
      <c r="AC2" s="31">
        <f t="shared" ref="AC2:AC34" si="2">+IF(AA2=0,0,AA2/AB2)</f>
        <v>31980.241666666665</v>
      </c>
      <c r="AD2" s="1"/>
      <c r="AE2" s="321">
        <f>+IF($A2=AE$1,SUM($O2:$T2),0)</f>
        <v>0</v>
      </c>
      <c r="AF2" s="321">
        <f t="shared" ref="AF2:AO17" si="3">+IF($A2=AF$1,SUM($O2:$T2),0)</f>
        <v>0</v>
      </c>
      <c r="AG2" s="321">
        <f t="shared" si="3"/>
        <v>190847.37</v>
      </c>
      <c r="AH2" s="321">
        <f t="shared" si="3"/>
        <v>0</v>
      </c>
      <c r="AI2" s="321">
        <f t="shared" si="3"/>
        <v>0</v>
      </c>
      <c r="AJ2" s="321">
        <f t="shared" si="3"/>
        <v>0</v>
      </c>
      <c r="AK2" s="321">
        <f t="shared" si="3"/>
        <v>0</v>
      </c>
      <c r="AL2" s="321">
        <f t="shared" si="3"/>
        <v>0</v>
      </c>
      <c r="AM2" s="321">
        <f t="shared" si="3"/>
        <v>0</v>
      </c>
      <c r="AN2" s="321">
        <f t="shared" si="3"/>
        <v>0</v>
      </c>
      <c r="AO2" s="321">
        <f t="shared" si="3"/>
        <v>0</v>
      </c>
      <c r="AP2" s="70">
        <f>+SUM(AE2:AO2)</f>
        <v>190847.37</v>
      </c>
      <c r="AQ2" s="321">
        <f>+SUM(O2:T2)</f>
        <v>190847.37</v>
      </c>
      <c r="AR2" s="331">
        <f t="shared" ref="AR2:AR9" si="4">+AP2-AQ2</f>
        <v>0</v>
      </c>
    </row>
    <row r="3" spans="1:44" s="17" customFormat="1" ht="10.5">
      <c r="A3" s="1" t="s">
        <v>705</v>
      </c>
      <c r="B3" s="4">
        <v>15002216</v>
      </c>
      <c r="C3" s="1" t="s">
        <v>329</v>
      </c>
      <c r="D3" s="1" t="s">
        <v>838</v>
      </c>
      <c r="E3" s="1"/>
      <c r="F3" s="32"/>
      <c r="G3" s="32"/>
      <c r="H3" s="32">
        <v>1</v>
      </c>
      <c r="I3" s="32"/>
      <c r="J3" s="32"/>
      <c r="K3" s="32" t="s">
        <v>837</v>
      </c>
      <c r="L3" s="1" t="s">
        <v>745</v>
      </c>
      <c r="M3" s="333" t="s">
        <v>744</v>
      </c>
      <c r="N3" s="349">
        <v>40507</v>
      </c>
      <c r="O3" s="32"/>
      <c r="P3" s="32"/>
      <c r="Q3" s="32"/>
      <c r="R3" s="346">
        <v>114.92</v>
      </c>
      <c r="S3" s="1"/>
      <c r="T3" s="32"/>
      <c r="V3" s="321"/>
      <c r="W3" s="321"/>
      <c r="X3" s="321"/>
      <c r="Y3" s="321"/>
      <c r="Z3" s="321"/>
      <c r="AA3" s="8">
        <f t="shared" si="0"/>
        <v>114.92</v>
      </c>
      <c r="AB3" s="1">
        <f t="shared" si="1"/>
        <v>1</v>
      </c>
      <c r="AC3" s="31">
        <f t="shared" si="2"/>
        <v>114.92</v>
      </c>
      <c r="AD3" s="1"/>
      <c r="AE3" s="321">
        <f t="shared" ref="AE3:AO35" si="5">+IF($A3=AE$1,SUM($O3:$T3),0)</f>
        <v>0</v>
      </c>
      <c r="AF3" s="321">
        <f t="shared" si="3"/>
        <v>0</v>
      </c>
      <c r="AG3" s="321">
        <f t="shared" si="3"/>
        <v>0</v>
      </c>
      <c r="AH3" s="321">
        <f t="shared" si="3"/>
        <v>0</v>
      </c>
      <c r="AI3" s="321">
        <f t="shared" si="3"/>
        <v>0</v>
      </c>
      <c r="AJ3" s="321">
        <f t="shared" si="3"/>
        <v>0</v>
      </c>
      <c r="AK3" s="321">
        <f t="shared" si="3"/>
        <v>0</v>
      </c>
      <c r="AL3" s="321">
        <f t="shared" si="3"/>
        <v>0</v>
      </c>
      <c r="AM3" s="321">
        <f t="shared" si="3"/>
        <v>0</v>
      </c>
      <c r="AN3" s="321">
        <f t="shared" si="3"/>
        <v>0</v>
      </c>
      <c r="AO3" s="321">
        <f t="shared" si="3"/>
        <v>114.92</v>
      </c>
      <c r="AP3" s="70">
        <f t="shared" ref="AP3:AP67" si="6">+SUM(AE3:AO3)</f>
        <v>114.92</v>
      </c>
      <c r="AQ3" s="321">
        <f t="shared" ref="AQ3:AQ67" si="7">+SUM(O3:T3)</f>
        <v>114.92</v>
      </c>
      <c r="AR3" s="331">
        <f t="shared" si="4"/>
        <v>0</v>
      </c>
    </row>
    <row r="4" spans="1:44" ht="10.5">
      <c r="A4" s="1" t="s">
        <v>845</v>
      </c>
      <c r="B4" s="42">
        <v>15036764</v>
      </c>
      <c r="C4" s="11" t="s">
        <v>844</v>
      </c>
      <c r="D4" s="11" t="s">
        <v>844</v>
      </c>
      <c r="E4" s="7"/>
      <c r="F4" s="340"/>
      <c r="H4" s="7">
        <v>1</v>
      </c>
      <c r="I4" s="7"/>
      <c r="M4" s="333"/>
      <c r="N4" s="332"/>
      <c r="O4" s="181"/>
      <c r="P4" s="184"/>
      <c r="Q4" s="229"/>
      <c r="R4" s="192"/>
      <c r="S4" s="195"/>
      <c r="T4" s="238"/>
      <c r="U4" s="306"/>
      <c r="V4" s="350">
        <v>31555.599999999999</v>
      </c>
      <c r="W4" s="350">
        <v>39415.15</v>
      </c>
      <c r="X4" s="220">
        <v>33363.47</v>
      </c>
      <c r="Y4" s="304">
        <v>29798.01</v>
      </c>
      <c r="Z4" s="172">
        <v>29197.98</v>
      </c>
      <c r="AA4" s="8">
        <f t="shared" si="0"/>
        <v>163330.21000000002</v>
      </c>
      <c r="AB4" s="1">
        <f t="shared" si="1"/>
        <v>5</v>
      </c>
      <c r="AC4" s="31">
        <f t="shared" si="2"/>
        <v>32666.042000000005</v>
      </c>
      <c r="AD4" s="17"/>
      <c r="AE4" s="321">
        <f t="shared" si="5"/>
        <v>0</v>
      </c>
      <c r="AF4" s="321">
        <f t="shared" si="3"/>
        <v>0</v>
      </c>
      <c r="AG4" s="321">
        <f t="shared" si="3"/>
        <v>0</v>
      </c>
      <c r="AH4" s="321">
        <f t="shared" si="3"/>
        <v>0</v>
      </c>
      <c r="AI4" s="321">
        <f t="shared" si="3"/>
        <v>0</v>
      </c>
      <c r="AJ4" s="321">
        <f t="shared" si="3"/>
        <v>0</v>
      </c>
      <c r="AK4" s="321">
        <f t="shared" si="3"/>
        <v>0</v>
      </c>
      <c r="AL4" s="321">
        <f t="shared" si="3"/>
        <v>0</v>
      </c>
      <c r="AM4" s="321">
        <f t="shared" si="3"/>
        <v>0</v>
      </c>
      <c r="AN4" s="321">
        <f t="shared" si="3"/>
        <v>0</v>
      </c>
      <c r="AO4" s="321">
        <f t="shared" si="3"/>
        <v>0</v>
      </c>
      <c r="AP4" s="70">
        <f t="shared" si="6"/>
        <v>0</v>
      </c>
      <c r="AQ4" s="321">
        <f t="shared" si="7"/>
        <v>0</v>
      </c>
      <c r="AR4" s="331">
        <f t="shared" si="4"/>
        <v>0</v>
      </c>
    </row>
    <row r="5" spans="1:44" ht="10.5">
      <c r="A5" s="1" t="s">
        <v>705</v>
      </c>
      <c r="B5" s="4">
        <v>15057226</v>
      </c>
      <c r="C5" s="1" t="s">
        <v>716</v>
      </c>
      <c r="D5" s="1" t="s">
        <v>713</v>
      </c>
      <c r="H5" s="1">
        <v>1</v>
      </c>
      <c r="O5" s="181">
        <v>111.35</v>
      </c>
      <c r="P5" s="184">
        <v>89.91</v>
      </c>
      <c r="Q5" s="229">
        <v>144.93</v>
      </c>
      <c r="R5" s="234">
        <v>102.54</v>
      </c>
      <c r="S5" s="238">
        <v>50.29</v>
      </c>
      <c r="T5" s="238">
        <v>10.199999999999999</v>
      </c>
      <c r="U5" s="32"/>
      <c r="V5" s="212">
        <v>20.399999999999999</v>
      </c>
      <c r="W5" s="350">
        <v>20.399999999999999</v>
      </c>
      <c r="X5" s="220">
        <v>189.63</v>
      </c>
      <c r="Y5" s="304">
        <v>89.25</v>
      </c>
      <c r="Z5" s="172">
        <v>161.44</v>
      </c>
      <c r="AA5" s="8">
        <f t="shared" si="0"/>
        <v>990.33999999999992</v>
      </c>
      <c r="AB5" s="1">
        <f t="shared" si="1"/>
        <v>11</v>
      </c>
      <c r="AC5" s="31">
        <f t="shared" si="2"/>
        <v>90.030909090909077</v>
      </c>
      <c r="AE5" s="321">
        <f t="shared" si="5"/>
        <v>0</v>
      </c>
      <c r="AF5" s="321">
        <f t="shared" si="3"/>
        <v>0</v>
      </c>
      <c r="AG5" s="321">
        <f t="shared" si="3"/>
        <v>0</v>
      </c>
      <c r="AH5" s="321">
        <f t="shared" si="3"/>
        <v>0</v>
      </c>
      <c r="AI5" s="321">
        <f t="shared" si="3"/>
        <v>0</v>
      </c>
      <c r="AJ5" s="321">
        <f t="shared" si="3"/>
        <v>0</v>
      </c>
      <c r="AK5" s="321">
        <f t="shared" si="3"/>
        <v>0</v>
      </c>
      <c r="AL5" s="321">
        <f t="shared" si="3"/>
        <v>0</v>
      </c>
      <c r="AM5" s="321">
        <f t="shared" si="3"/>
        <v>0</v>
      </c>
      <c r="AN5" s="321">
        <f t="shared" si="3"/>
        <v>0</v>
      </c>
      <c r="AO5" s="321">
        <f t="shared" si="3"/>
        <v>509.22</v>
      </c>
      <c r="AP5" s="70">
        <f t="shared" si="6"/>
        <v>509.22</v>
      </c>
      <c r="AQ5" s="321">
        <f t="shared" si="7"/>
        <v>509.22</v>
      </c>
      <c r="AR5" s="331">
        <f t="shared" si="4"/>
        <v>0</v>
      </c>
    </row>
    <row r="6" spans="1:44" ht="10.5">
      <c r="A6" s="1" t="s">
        <v>705</v>
      </c>
      <c r="B6" s="4">
        <v>11275900</v>
      </c>
      <c r="D6" s="1" t="s">
        <v>853</v>
      </c>
      <c r="H6" s="1">
        <v>1</v>
      </c>
      <c r="O6" s="181"/>
      <c r="P6" s="184"/>
      <c r="Q6" s="229"/>
      <c r="R6" s="192"/>
      <c r="S6" s="195"/>
      <c r="T6" s="238"/>
      <c r="U6" s="306"/>
      <c r="V6" s="212"/>
      <c r="W6" s="350"/>
      <c r="X6" s="304">
        <v>322.83</v>
      </c>
      <c r="Y6" s="32"/>
      <c r="Z6" s="32"/>
      <c r="AA6" s="8">
        <f t="shared" si="0"/>
        <v>322.83</v>
      </c>
      <c r="AB6" s="1">
        <f t="shared" si="1"/>
        <v>1</v>
      </c>
      <c r="AC6" s="31">
        <f t="shared" si="2"/>
        <v>322.83</v>
      </c>
      <c r="AE6" s="321">
        <f t="shared" si="5"/>
        <v>0</v>
      </c>
      <c r="AF6" s="321">
        <f t="shared" si="3"/>
        <v>0</v>
      </c>
      <c r="AG6" s="321">
        <f t="shared" si="3"/>
        <v>0</v>
      </c>
      <c r="AH6" s="321">
        <f t="shared" si="3"/>
        <v>0</v>
      </c>
      <c r="AI6" s="321">
        <f t="shared" si="3"/>
        <v>0</v>
      </c>
      <c r="AJ6" s="321">
        <f t="shared" si="3"/>
        <v>0</v>
      </c>
      <c r="AK6" s="321">
        <f t="shared" si="3"/>
        <v>0</v>
      </c>
      <c r="AL6" s="321">
        <f t="shared" si="3"/>
        <v>0</v>
      </c>
      <c r="AM6" s="321">
        <f t="shared" si="3"/>
        <v>0</v>
      </c>
      <c r="AN6" s="321">
        <f t="shared" si="3"/>
        <v>0</v>
      </c>
      <c r="AO6" s="321">
        <f t="shared" si="3"/>
        <v>0</v>
      </c>
      <c r="AP6" s="70">
        <f t="shared" si="6"/>
        <v>0</v>
      </c>
      <c r="AQ6" s="321">
        <f t="shared" si="7"/>
        <v>0</v>
      </c>
      <c r="AR6" s="331">
        <f t="shared" si="4"/>
        <v>0</v>
      </c>
    </row>
    <row r="7" spans="1:44" ht="10.5">
      <c r="A7" s="1" t="s">
        <v>539</v>
      </c>
      <c r="B7" s="4">
        <v>15037169</v>
      </c>
      <c r="C7" s="1" t="s">
        <v>636</v>
      </c>
      <c r="D7" s="1" t="s">
        <v>733</v>
      </c>
      <c r="E7" s="337"/>
      <c r="F7" s="7">
        <v>107</v>
      </c>
      <c r="G7" s="1" t="s">
        <v>749</v>
      </c>
      <c r="H7" s="7">
        <v>37</v>
      </c>
      <c r="I7" s="7">
        <v>0</v>
      </c>
      <c r="J7" s="1" t="s">
        <v>748</v>
      </c>
      <c r="K7" s="1" t="s">
        <v>401</v>
      </c>
      <c r="L7" s="1" t="s">
        <v>745</v>
      </c>
      <c r="M7" s="333" t="s">
        <v>744</v>
      </c>
      <c r="N7" s="332">
        <v>40510</v>
      </c>
      <c r="O7" s="181">
        <v>2496.41</v>
      </c>
      <c r="P7" s="184">
        <v>2105.71</v>
      </c>
      <c r="Q7" s="229">
        <v>2448.39</v>
      </c>
      <c r="R7" s="192">
        <v>3424.75</v>
      </c>
      <c r="S7" s="195">
        <v>1628</v>
      </c>
      <c r="T7" s="238">
        <v>1230.0899999999999</v>
      </c>
      <c r="U7" s="347">
        <v>1527.18</v>
      </c>
      <c r="V7" s="212">
        <v>1566.34</v>
      </c>
      <c r="W7" s="350">
        <v>2279.2800000000002</v>
      </c>
      <c r="X7" s="220">
        <v>3227</v>
      </c>
      <c r="Y7" s="304">
        <v>1876.91</v>
      </c>
      <c r="Z7" s="172">
        <v>1439.68</v>
      </c>
      <c r="AA7" s="8">
        <f t="shared" si="0"/>
        <v>25249.739999999998</v>
      </c>
      <c r="AB7" s="1">
        <f t="shared" si="1"/>
        <v>12</v>
      </c>
      <c r="AC7" s="31">
        <f t="shared" si="2"/>
        <v>2104.145</v>
      </c>
      <c r="AE7" s="321">
        <f t="shared" si="5"/>
        <v>13333.35</v>
      </c>
      <c r="AF7" s="321">
        <f t="shared" si="3"/>
        <v>0</v>
      </c>
      <c r="AG7" s="321">
        <f t="shared" si="3"/>
        <v>0</v>
      </c>
      <c r="AH7" s="321">
        <f t="shared" si="3"/>
        <v>0</v>
      </c>
      <c r="AI7" s="321">
        <f t="shared" si="3"/>
        <v>0</v>
      </c>
      <c r="AJ7" s="321">
        <f t="shared" si="3"/>
        <v>0</v>
      </c>
      <c r="AK7" s="321">
        <f t="shared" si="3"/>
        <v>0</v>
      </c>
      <c r="AL7" s="321">
        <f t="shared" si="3"/>
        <v>0</v>
      </c>
      <c r="AM7" s="321">
        <f t="shared" si="3"/>
        <v>0</v>
      </c>
      <c r="AN7" s="321">
        <f t="shared" si="3"/>
        <v>0</v>
      </c>
      <c r="AO7" s="321">
        <f t="shared" si="3"/>
        <v>0</v>
      </c>
      <c r="AP7" s="70">
        <f t="shared" si="6"/>
        <v>13333.35</v>
      </c>
      <c r="AQ7" s="321">
        <f t="shared" si="7"/>
        <v>13333.35</v>
      </c>
      <c r="AR7" s="331">
        <f t="shared" si="4"/>
        <v>0</v>
      </c>
    </row>
    <row r="8" spans="1:44" ht="10.5">
      <c r="A8" s="1" t="s">
        <v>705</v>
      </c>
      <c r="B8" s="4">
        <v>15059510</v>
      </c>
      <c r="C8" s="1" t="s">
        <v>833</v>
      </c>
      <c r="D8" s="1" t="s">
        <v>833</v>
      </c>
      <c r="F8" s="32"/>
      <c r="G8" s="32"/>
      <c r="H8" s="32">
        <v>1</v>
      </c>
      <c r="I8" s="32"/>
      <c r="J8" s="32"/>
      <c r="K8" s="32"/>
      <c r="L8" s="32"/>
      <c r="M8" s="32"/>
      <c r="N8" s="32"/>
      <c r="O8" s="181"/>
      <c r="P8" s="184"/>
      <c r="Q8" s="229"/>
      <c r="R8" s="347">
        <v>25.03</v>
      </c>
      <c r="S8" s="347">
        <v>49.27</v>
      </c>
      <c r="T8" s="347">
        <v>53.89</v>
      </c>
      <c r="U8" s="17"/>
      <c r="V8" s="321"/>
      <c r="W8" s="321"/>
      <c r="X8" s="352">
        <v>150.06</v>
      </c>
      <c r="Y8" s="353">
        <v>272.11</v>
      </c>
      <c r="Z8" s="364">
        <v>414.72</v>
      </c>
      <c r="AA8" s="8">
        <f t="shared" si="0"/>
        <v>965.08</v>
      </c>
      <c r="AB8" s="1">
        <f t="shared" si="1"/>
        <v>6</v>
      </c>
      <c r="AC8" s="31">
        <f t="shared" si="2"/>
        <v>160.84666666666666</v>
      </c>
      <c r="AE8" s="321">
        <f t="shared" si="5"/>
        <v>0</v>
      </c>
      <c r="AF8" s="321">
        <f t="shared" si="3"/>
        <v>0</v>
      </c>
      <c r="AG8" s="321">
        <f t="shared" si="3"/>
        <v>0</v>
      </c>
      <c r="AH8" s="321">
        <f t="shared" si="3"/>
        <v>0</v>
      </c>
      <c r="AI8" s="321">
        <f t="shared" si="3"/>
        <v>0</v>
      </c>
      <c r="AJ8" s="321">
        <f t="shared" si="3"/>
        <v>0</v>
      </c>
      <c r="AK8" s="321">
        <f t="shared" si="3"/>
        <v>0</v>
      </c>
      <c r="AL8" s="321">
        <f t="shared" si="3"/>
        <v>0</v>
      </c>
      <c r="AM8" s="321">
        <f t="shared" si="3"/>
        <v>0</v>
      </c>
      <c r="AN8" s="321">
        <f t="shared" si="3"/>
        <v>0</v>
      </c>
      <c r="AO8" s="321">
        <f t="shared" si="3"/>
        <v>128.19</v>
      </c>
      <c r="AP8" s="70">
        <f t="shared" si="6"/>
        <v>128.19</v>
      </c>
      <c r="AQ8" s="321">
        <f t="shared" si="7"/>
        <v>128.19</v>
      </c>
      <c r="AR8" s="331">
        <f t="shared" si="4"/>
        <v>0</v>
      </c>
    </row>
    <row r="9" spans="1:44" ht="10.5">
      <c r="A9" s="1" t="s">
        <v>533</v>
      </c>
      <c r="B9" s="4">
        <v>15008670</v>
      </c>
      <c r="C9" s="1" t="s">
        <v>114</v>
      </c>
      <c r="D9" s="1" t="s">
        <v>114</v>
      </c>
      <c r="E9" s="7">
        <v>1987</v>
      </c>
      <c r="F9" s="7">
        <v>117</v>
      </c>
      <c r="G9" s="1" t="s">
        <v>114</v>
      </c>
      <c r="H9" s="7">
        <v>100</v>
      </c>
      <c r="I9" s="7">
        <v>1</v>
      </c>
      <c r="K9" s="1" t="s">
        <v>403</v>
      </c>
      <c r="L9" s="1" t="s">
        <v>745</v>
      </c>
      <c r="M9" s="333" t="s">
        <v>744</v>
      </c>
      <c r="N9" s="332">
        <v>40509</v>
      </c>
      <c r="O9" s="181">
        <v>8232.7000000000007</v>
      </c>
      <c r="P9" s="184">
        <v>5206.0600000000004</v>
      </c>
      <c r="Q9" s="229">
        <v>6105.93</v>
      </c>
      <c r="R9" s="192">
        <v>6600.45</v>
      </c>
      <c r="S9" s="195">
        <v>3529.12</v>
      </c>
      <c r="T9" s="238">
        <v>2870.55</v>
      </c>
      <c r="U9" s="347">
        <v>2613.2800000000002</v>
      </c>
      <c r="V9" s="212">
        <v>2395.46</v>
      </c>
      <c r="W9" s="350">
        <v>4941.42</v>
      </c>
      <c r="X9" s="220">
        <v>5719.17</v>
      </c>
      <c r="Y9" s="304">
        <v>5916.6</v>
      </c>
      <c r="Z9" s="172">
        <v>4927.49</v>
      </c>
      <c r="AA9" s="8">
        <f t="shared" si="0"/>
        <v>59058.229999999996</v>
      </c>
      <c r="AB9" s="1">
        <f t="shared" si="1"/>
        <v>12</v>
      </c>
      <c r="AC9" s="31">
        <f t="shared" si="2"/>
        <v>4921.519166666666</v>
      </c>
      <c r="AE9" s="321">
        <f t="shared" si="5"/>
        <v>0</v>
      </c>
      <c r="AF9" s="321">
        <f t="shared" si="3"/>
        <v>0</v>
      </c>
      <c r="AG9" s="321">
        <f t="shared" si="3"/>
        <v>0</v>
      </c>
      <c r="AH9" s="321">
        <f t="shared" si="3"/>
        <v>0</v>
      </c>
      <c r="AI9" s="321">
        <f t="shared" si="3"/>
        <v>0</v>
      </c>
      <c r="AJ9" s="321">
        <f t="shared" si="3"/>
        <v>0</v>
      </c>
      <c r="AK9" s="321">
        <f t="shared" si="3"/>
        <v>32544.81</v>
      </c>
      <c r="AL9" s="321">
        <f t="shared" si="3"/>
        <v>0</v>
      </c>
      <c r="AM9" s="321">
        <f t="shared" si="3"/>
        <v>0</v>
      </c>
      <c r="AN9" s="321">
        <f t="shared" si="3"/>
        <v>0</v>
      </c>
      <c r="AO9" s="321">
        <f t="shared" si="3"/>
        <v>0</v>
      </c>
      <c r="AP9" s="70">
        <f t="shared" si="6"/>
        <v>32544.81</v>
      </c>
      <c r="AQ9" s="321">
        <f t="shared" si="7"/>
        <v>32544.81</v>
      </c>
      <c r="AR9" s="331">
        <f t="shared" si="4"/>
        <v>0</v>
      </c>
    </row>
    <row r="10" spans="1:44" ht="10.5">
      <c r="A10" s="1" t="s">
        <v>662</v>
      </c>
      <c r="B10" s="4">
        <v>70000000</v>
      </c>
      <c r="C10" s="1" t="s">
        <v>229</v>
      </c>
      <c r="D10" s="1" t="s">
        <v>229</v>
      </c>
      <c r="E10" s="7"/>
      <c r="F10" s="7">
        <v>89</v>
      </c>
      <c r="G10" s="1" t="s">
        <v>229</v>
      </c>
      <c r="H10" s="7">
        <v>42</v>
      </c>
      <c r="I10" s="7">
        <v>0</v>
      </c>
      <c r="K10" s="1" t="s">
        <v>826</v>
      </c>
      <c r="L10" s="1" t="s">
        <v>745</v>
      </c>
      <c r="M10" s="333" t="s">
        <v>744</v>
      </c>
      <c r="N10" s="332">
        <v>40505</v>
      </c>
      <c r="O10" s="181">
        <v>1408.88</v>
      </c>
      <c r="P10" s="184">
        <v>1460.64</v>
      </c>
      <c r="Q10" s="229">
        <v>1596.09</v>
      </c>
      <c r="R10" s="192">
        <v>1557.2</v>
      </c>
      <c r="S10" s="195">
        <v>1279</v>
      </c>
      <c r="T10" s="238">
        <v>1361.7</v>
      </c>
      <c r="U10" s="347">
        <v>1305.5999999999999</v>
      </c>
      <c r="V10" s="212">
        <v>1371.9</v>
      </c>
      <c r="W10" s="350">
        <v>1431.74</v>
      </c>
      <c r="X10" s="220">
        <v>1279.51</v>
      </c>
      <c r="Y10" s="304">
        <v>1384.98</v>
      </c>
      <c r="Z10" s="172">
        <v>1465.74</v>
      </c>
      <c r="AA10" s="8">
        <f t="shared" si="0"/>
        <v>16902.98</v>
      </c>
      <c r="AB10" s="1">
        <f t="shared" si="1"/>
        <v>12</v>
      </c>
      <c r="AC10" s="31">
        <f t="shared" si="2"/>
        <v>1408.5816666666667</v>
      </c>
      <c r="AE10" s="321">
        <f t="shared" si="5"/>
        <v>0</v>
      </c>
      <c r="AF10" s="321">
        <f t="shared" si="3"/>
        <v>0</v>
      </c>
      <c r="AG10" s="321">
        <f t="shared" si="3"/>
        <v>0</v>
      </c>
      <c r="AH10" s="321">
        <f t="shared" si="3"/>
        <v>0</v>
      </c>
      <c r="AI10" s="321">
        <f t="shared" si="3"/>
        <v>8663.51</v>
      </c>
      <c r="AJ10" s="321">
        <f t="shared" si="3"/>
        <v>0</v>
      </c>
      <c r="AK10" s="321">
        <f t="shared" si="3"/>
        <v>0</v>
      </c>
      <c r="AL10" s="321">
        <f t="shared" si="3"/>
        <v>0</v>
      </c>
      <c r="AM10" s="321">
        <f t="shared" si="3"/>
        <v>0</v>
      </c>
      <c r="AN10" s="321">
        <f t="shared" si="3"/>
        <v>0</v>
      </c>
      <c r="AO10" s="321">
        <f t="shared" si="3"/>
        <v>0</v>
      </c>
      <c r="AP10" s="70">
        <f t="shared" si="6"/>
        <v>8663.51</v>
      </c>
      <c r="AQ10" s="321">
        <f t="shared" si="7"/>
        <v>8663.51</v>
      </c>
      <c r="AR10" s="331"/>
    </row>
    <row r="11" spans="1:44" ht="10.5">
      <c r="A11" s="1" t="s">
        <v>535</v>
      </c>
      <c r="B11" s="4">
        <v>7003201</v>
      </c>
      <c r="C11" s="1" t="s">
        <v>525</v>
      </c>
      <c r="D11" s="1" t="s">
        <v>385</v>
      </c>
      <c r="E11" s="338">
        <v>40057</v>
      </c>
      <c r="F11" s="7">
        <v>4130</v>
      </c>
      <c r="G11" s="1" t="s">
        <v>385</v>
      </c>
      <c r="H11" s="7">
        <v>80</v>
      </c>
      <c r="I11" s="7"/>
      <c r="J11" s="1" t="s">
        <v>753</v>
      </c>
      <c r="K11" s="1" t="s">
        <v>752</v>
      </c>
      <c r="L11" s="1" t="s">
        <v>745</v>
      </c>
      <c r="M11" s="333" t="s">
        <v>744</v>
      </c>
      <c r="N11" s="332">
        <v>40511</v>
      </c>
      <c r="O11" s="181">
        <v>16590.009999999998</v>
      </c>
      <c r="P11" s="184">
        <v>15525.29</v>
      </c>
      <c r="Q11" s="229">
        <v>15959.14</v>
      </c>
      <c r="R11" s="192">
        <v>18022.740000000002</v>
      </c>
      <c r="S11" s="238">
        <v>11938.24</v>
      </c>
      <c r="T11" s="238">
        <v>7572.41</v>
      </c>
      <c r="U11" s="347">
        <v>8087.05</v>
      </c>
      <c r="V11" s="212">
        <v>8112.83</v>
      </c>
      <c r="W11" s="350">
        <v>12495.03</v>
      </c>
      <c r="X11" s="220">
        <v>15478.94</v>
      </c>
      <c r="Y11" s="304">
        <v>15160.71</v>
      </c>
      <c r="Z11" s="172">
        <v>13015.61</v>
      </c>
      <c r="AA11" s="8">
        <f t="shared" si="0"/>
        <v>157958</v>
      </c>
      <c r="AB11" s="1">
        <f t="shared" si="1"/>
        <v>12</v>
      </c>
      <c r="AC11" s="31">
        <f t="shared" si="2"/>
        <v>13163.166666666666</v>
      </c>
      <c r="AE11" s="321">
        <f t="shared" si="5"/>
        <v>0</v>
      </c>
      <c r="AF11" s="321">
        <f t="shared" si="3"/>
        <v>0</v>
      </c>
      <c r="AG11" s="321">
        <f t="shared" si="3"/>
        <v>0</v>
      </c>
      <c r="AH11" s="321">
        <f t="shared" si="3"/>
        <v>0</v>
      </c>
      <c r="AI11" s="321">
        <f t="shared" si="3"/>
        <v>0</v>
      </c>
      <c r="AJ11" s="321">
        <f t="shared" si="3"/>
        <v>85607.830000000016</v>
      </c>
      <c r="AK11" s="321">
        <f t="shared" si="3"/>
        <v>0</v>
      </c>
      <c r="AL11" s="321">
        <f t="shared" si="3"/>
        <v>0</v>
      </c>
      <c r="AM11" s="321">
        <f t="shared" si="3"/>
        <v>0</v>
      </c>
      <c r="AN11" s="321">
        <f t="shared" si="3"/>
        <v>0</v>
      </c>
      <c r="AO11" s="321">
        <f t="shared" si="3"/>
        <v>0</v>
      </c>
      <c r="AP11" s="70">
        <f t="shared" si="6"/>
        <v>85607.830000000016</v>
      </c>
      <c r="AQ11" s="321">
        <f t="shared" si="7"/>
        <v>85607.830000000016</v>
      </c>
      <c r="AR11" s="331">
        <f>+AP11-AQ11</f>
        <v>0</v>
      </c>
    </row>
    <row r="12" spans="1:44" ht="10.5">
      <c r="A12" s="1" t="s">
        <v>662</v>
      </c>
      <c r="B12" s="42">
        <v>7000200</v>
      </c>
      <c r="C12" s="11" t="s">
        <v>230</v>
      </c>
      <c r="D12" s="11" t="s">
        <v>230</v>
      </c>
      <c r="E12" s="7"/>
      <c r="F12" s="340">
        <v>90</v>
      </c>
      <c r="G12" s="1" t="s">
        <v>230</v>
      </c>
      <c r="H12" s="7">
        <v>72</v>
      </c>
      <c r="I12" s="7">
        <v>0</v>
      </c>
      <c r="K12" s="1" t="s">
        <v>405</v>
      </c>
      <c r="L12" s="1" t="s">
        <v>745</v>
      </c>
      <c r="M12" s="333" t="s">
        <v>744</v>
      </c>
      <c r="N12" s="332">
        <v>40505</v>
      </c>
      <c r="O12" s="212">
        <v>2490.54</v>
      </c>
      <c r="P12" s="184">
        <v>2181.0500000000002</v>
      </c>
      <c r="Q12" s="212">
        <v>2527.94</v>
      </c>
      <c r="R12" s="212">
        <v>2468.33</v>
      </c>
      <c r="S12" s="212">
        <v>2487.21</v>
      </c>
      <c r="T12" s="212">
        <v>2363.0500000000002</v>
      </c>
      <c r="U12" s="212">
        <v>2090.66</v>
      </c>
      <c r="V12" s="212">
        <v>2309.44</v>
      </c>
      <c r="W12" s="32"/>
      <c r="X12" s="32"/>
      <c r="Y12" s="32"/>
      <c r="Z12" s="32"/>
      <c r="AA12" s="8">
        <f t="shared" si="0"/>
        <v>18918.219999999998</v>
      </c>
      <c r="AB12" s="1">
        <f t="shared" si="1"/>
        <v>8</v>
      </c>
      <c r="AC12" s="31">
        <f t="shared" si="2"/>
        <v>2364.7774999999997</v>
      </c>
      <c r="AE12" s="321">
        <f t="shared" si="5"/>
        <v>0</v>
      </c>
      <c r="AF12" s="321">
        <f t="shared" si="3"/>
        <v>0</v>
      </c>
      <c r="AG12" s="321">
        <f t="shared" si="3"/>
        <v>0</v>
      </c>
      <c r="AH12" s="321">
        <f t="shared" si="3"/>
        <v>0</v>
      </c>
      <c r="AI12" s="321">
        <f t="shared" si="3"/>
        <v>14518.119999999999</v>
      </c>
      <c r="AJ12" s="321">
        <f t="shared" si="3"/>
        <v>0</v>
      </c>
      <c r="AK12" s="321">
        <f t="shared" si="3"/>
        <v>0</v>
      </c>
      <c r="AL12" s="321">
        <f t="shared" si="3"/>
        <v>0</v>
      </c>
      <c r="AM12" s="321">
        <f t="shared" si="3"/>
        <v>0</v>
      </c>
      <c r="AN12" s="321">
        <f t="shared" si="3"/>
        <v>0</v>
      </c>
      <c r="AO12" s="321">
        <f t="shared" si="3"/>
        <v>0</v>
      </c>
      <c r="AP12" s="70">
        <f t="shared" si="6"/>
        <v>14518.119999999999</v>
      </c>
      <c r="AQ12" s="321">
        <f t="shared" si="7"/>
        <v>14518.119999999999</v>
      </c>
      <c r="AR12" s="331">
        <f>+AP12-AQ12</f>
        <v>0</v>
      </c>
    </row>
    <row r="13" spans="1:44" ht="10.5">
      <c r="A13" s="1" t="s">
        <v>705</v>
      </c>
      <c r="B13" s="4">
        <v>15060395</v>
      </c>
      <c r="D13" s="1" t="s">
        <v>857</v>
      </c>
      <c r="H13" s="1">
        <v>1</v>
      </c>
      <c r="O13" s="181"/>
      <c r="P13" s="185"/>
      <c r="Q13" s="233"/>
      <c r="R13" s="193"/>
      <c r="S13" s="196"/>
      <c r="T13" s="240"/>
      <c r="U13" s="307"/>
      <c r="V13" s="211"/>
      <c r="W13" s="351"/>
      <c r="X13" s="222"/>
      <c r="Y13" s="316"/>
      <c r="Z13" s="173">
        <v>131.75</v>
      </c>
      <c r="AA13" s="8">
        <f t="shared" si="0"/>
        <v>131.75</v>
      </c>
      <c r="AB13" s="1">
        <f t="shared" si="1"/>
        <v>1</v>
      </c>
      <c r="AC13" s="31">
        <f t="shared" si="2"/>
        <v>131.75</v>
      </c>
      <c r="AE13" s="321">
        <f t="shared" si="5"/>
        <v>0</v>
      </c>
      <c r="AF13" s="321">
        <f t="shared" si="3"/>
        <v>0</v>
      </c>
      <c r="AG13" s="321">
        <f t="shared" si="3"/>
        <v>0</v>
      </c>
      <c r="AH13" s="321">
        <f t="shared" si="3"/>
        <v>0</v>
      </c>
      <c r="AI13" s="321">
        <f t="shared" si="3"/>
        <v>0</v>
      </c>
      <c r="AJ13" s="321">
        <f t="shared" si="3"/>
        <v>0</v>
      </c>
      <c r="AK13" s="321">
        <f t="shared" si="3"/>
        <v>0</v>
      </c>
      <c r="AL13" s="321">
        <f t="shared" si="3"/>
        <v>0</v>
      </c>
      <c r="AM13" s="321">
        <f t="shared" si="3"/>
        <v>0</v>
      </c>
      <c r="AN13" s="321">
        <f t="shared" si="3"/>
        <v>0</v>
      </c>
      <c r="AO13" s="321">
        <f t="shared" si="3"/>
        <v>0</v>
      </c>
      <c r="AP13" s="70">
        <f t="shared" si="6"/>
        <v>0</v>
      </c>
      <c r="AQ13" s="321">
        <f t="shared" si="7"/>
        <v>0</v>
      </c>
      <c r="AR13" s="331">
        <f>+AP13-AQ13</f>
        <v>0</v>
      </c>
    </row>
    <row r="14" spans="1:44" ht="10.5">
      <c r="A14" s="1" t="s">
        <v>705</v>
      </c>
      <c r="B14" s="42">
        <v>15005197</v>
      </c>
      <c r="C14" s="11" t="s">
        <v>689</v>
      </c>
      <c r="D14" s="11" t="s">
        <v>600</v>
      </c>
      <c r="E14" s="11"/>
      <c r="F14" s="340"/>
      <c r="G14" s="11"/>
      <c r="H14" s="11">
        <v>1</v>
      </c>
      <c r="I14" s="11"/>
      <c r="J14" s="11"/>
      <c r="K14" s="11"/>
      <c r="L14" s="11"/>
      <c r="M14" s="11"/>
      <c r="N14" s="11"/>
      <c r="O14" s="32"/>
      <c r="P14" s="32"/>
      <c r="Q14" s="32"/>
      <c r="R14" s="32"/>
      <c r="S14" s="32"/>
      <c r="T14" s="32"/>
      <c r="U14" s="32"/>
      <c r="V14" s="212">
        <v>34.42</v>
      </c>
      <c r="W14" s="220">
        <v>98.6</v>
      </c>
      <c r="X14" s="220">
        <v>165.93</v>
      </c>
      <c r="Y14" s="172">
        <v>10.63</v>
      </c>
      <c r="Z14" s="32"/>
      <c r="AA14" s="8">
        <f t="shared" si="0"/>
        <v>309.58</v>
      </c>
      <c r="AB14" s="1">
        <f t="shared" si="1"/>
        <v>4</v>
      </c>
      <c r="AC14" s="31">
        <f t="shared" si="2"/>
        <v>77.394999999999996</v>
      </c>
      <c r="AE14" s="321">
        <f t="shared" si="5"/>
        <v>0</v>
      </c>
      <c r="AF14" s="321">
        <f t="shared" si="3"/>
        <v>0</v>
      </c>
      <c r="AG14" s="321">
        <f t="shared" si="3"/>
        <v>0</v>
      </c>
      <c r="AH14" s="321">
        <f t="shared" si="3"/>
        <v>0</v>
      </c>
      <c r="AI14" s="321">
        <f t="shared" si="3"/>
        <v>0</v>
      </c>
      <c r="AJ14" s="321">
        <f t="shared" si="3"/>
        <v>0</v>
      </c>
      <c r="AK14" s="321">
        <f t="shared" si="3"/>
        <v>0</v>
      </c>
      <c r="AL14" s="321">
        <f t="shared" si="3"/>
        <v>0</v>
      </c>
      <c r="AM14" s="321">
        <f t="shared" si="3"/>
        <v>0</v>
      </c>
      <c r="AN14" s="321">
        <f t="shared" si="3"/>
        <v>0</v>
      </c>
      <c r="AO14" s="321">
        <f t="shared" si="3"/>
        <v>0</v>
      </c>
      <c r="AP14" s="70">
        <f t="shared" si="6"/>
        <v>0</v>
      </c>
      <c r="AQ14" s="321">
        <f t="shared" si="7"/>
        <v>0</v>
      </c>
      <c r="AR14" s="331"/>
    </row>
    <row r="15" spans="1:44" ht="10.5">
      <c r="A15" s="1" t="s">
        <v>535</v>
      </c>
      <c r="B15" s="42">
        <v>15051607</v>
      </c>
      <c r="C15" s="11" t="s">
        <v>640</v>
      </c>
      <c r="D15" s="11" t="s">
        <v>641</v>
      </c>
      <c r="E15" s="338">
        <v>24108</v>
      </c>
      <c r="F15" s="340">
        <v>131</v>
      </c>
      <c r="G15" s="1" t="s">
        <v>755</v>
      </c>
      <c r="H15" s="7">
        <v>291</v>
      </c>
      <c r="I15" s="7">
        <v>11</v>
      </c>
      <c r="J15" s="1" t="s">
        <v>754</v>
      </c>
      <c r="K15" s="1" t="s">
        <v>400</v>
      </c>
      <c r="L15" s="1" t="s">
        <v>745</v>
      </c>
      <c r="M15" s="333" t="s">
        <v>744</v>
      </c>
      <c r="N15" s="332">
        <v>40511</v>
      </c>
      <c r="O15" s="181">
        <v>46047</v>
      </c>
      <c r="P15" s="229">
        <v>38488.14</v>
      </c>
      <c r="Q15" s="229">
        <v>41389.06</v>
      </c>
      <c r="R15" s="238">
        <v>45012.43</v>
      </c>
      <c r="S15" s="347">
        <v>24720.52</v>
      </c>
      <c r="T15" s="212">
        <v>18563.16</v>
      </c>
      <c r="U15" s="350">
        <v>19069.099999999999</v>
      </c>
      <c r="V15" s="220">
        <v>21439.52</v>
      </c>
      <c r="W15" s="220">
        <v>31753.64</v>
      </c>
      <c r="X15" s="304">
        <v>44286.2</v>
      </c>
      <c r="Y15" s="304">
        <v>39356.39</v>
      </c>
      <c r="Z15" s="172">
        <v>36547.25</v>
      </c>
      <c r="AA15" s="8">
        <f t="shared" si="0"/>
        <v>406672.41000000003</v>
      </c>
      <c r="AB15" s="1">
        <f t="shared" si="1"/>
        <v>12</v>
      </c>
      <c r="AC15" s="31">
        <f t="shared" si="2"/>
        <v>33889.3675</v>
      </c>
      <c r="AE15" s="321">
        <f t="shared" si="5"/>
        <v>0</v>
      </c>
      <c r="AF15" s="321">
        <f t="shared" si="3"/>
        <v>0</v>
      </c>
      <c r="AG15" s="321">
        <f t="shared" si="3"/>
        <v>0</v>
      </c>
      <c r="AH15" s="321">
        <f t="shared" si="3"/>
        <v>0</v>
      </c>
      <c r="AI15" s="321">
        <f t="shared" si="3"/>
        <v>0</v>
      </c>
      <c r="AJ15" s="321">
        <f t="shared" si="3"/>
        <v>214220.31</v>
      </c>
      <c r="AK15" s="321">
        <f t="shared" si="3"/>
        <v>0</v>
      </c>
      <c r="AL15" s="321">
        <f t="shared" si="3"/>
        <v>0</v>
      </c>
      <c r="AM15" s="321">
        <f t="shared" si="3"/>
        <v>0</v>
      </c>
      <c r="AN15" s="321">
        <f t="shared" si="3"/>
        <v>0</v>
      </c>
      <c r="AO15" s="321">
        <f t="shared" si="3"/>
        <v>0</v>
      </c>
      <c r="AP15" s="70">
        <f t="shared" si="6"/>
        <v>214220.31</v>
      </c>
      <c r="AQ15" s="321">
        <f t="shared" si="7"/>
        <v>214220.31</v>
      </c>
      <c r="AR15" s="331">
        <f>+AP15-AQ15</f>
        <v>0</v>
      </c>
    </row>
    <row r="16" spans="1:44" s="17" customFormat="1" ht="10.5">
      <c r="A16" s="1" t="s">
        <v>533</v>
      </c>
      <c r="B16" s="42">
        <v>15051882</v>
      </c>
      <c r="C16" s="11" t="s">
        <v>643</v>
      </c>
      <c r="D16" s="11" t="s">
        <v>642</v>
      </c>
      <c r="E16" s="338">
        <v>26908</v>
      </c>
      <c r="F16" s="340">
        <v>132</v>
      </c>
      <c r="G16" s="1" t="s">
        <v>757</v>
      </c>
      <c r="H16" s="7">
        <v>151</v>
      </c>
      <c r="I16" s="7">
        <v>5</v>
      </c>
      <c r="J16" s="1" t="s">
        <v>754</v>
      </c>
      <c r="K16" s="1" t="s">
        <v>756</v>
      </c>
      <c r="L16" s="1" t="s">
        <v>745</v>
      </c>
      <c r="M16" s="333" t="s">
        <v>744</v>
      </c>
      <c r="N16" s="332">
        <v>40509</v>
      </c>
      <c r="O16" s="136"/>
      <c r="P16" s="136"/>
      <c r="Q16" s="193">
        <v>12529.06</v>
      </c>
      <c r="R16" s="136"/>
      <c r="S16" s="32"/>
      <c r="T16" s="32"/>
      <c r="U16" s="347">
        <v>3884.76</v>
      </c>
      <c r="V16" s="212">
        <v>6944.25</v>
      </c>
      <c r="W16" s="350">
        <v>9916.19</v>
      </c>
      <c r="X16" s="220">
        <v>13621.18</v>
      </c>
      <c r="Y16" s="32"/>
      <c r="Z16" s="32"/>
      <c r="AA16" s="8">
        <f t="shared" si="0"/>
        <v>46895.44</v>
      </c>
      <c r="AB16" s="1">
        <f t="shared" si="1"/>
        <v>5</v>
      </c>
      <c r="AC16" s="31">
        <f t="shared" si="2"/>
        <v>9379.0879999999997</v>
      </c>
      <c r="AD16" s="1"/>
      <c r="AE16" s="321">
        <f t="shared" si="5"/>
        <v>0</v>
      </c>
      <c r="AF16" s="321">
        <f t="shared" si="3"/>
        <v>0</v>
      </c>
      <c r="AG16" s="321">
        <f t="shared" si="3"/>
        <v>0</v>
      </c>
      <c r="AH16" s="321">
        <f t="shared" si="3"/>
        <v>0</v>
      </c>
      <c r="AI16" s="321">
        <f t="shared" si="3"/>
        <v>0</v>
      </c>
      <c r="AJ16" s="321">
        <f t="shared" si="3"/>
        <v>0</v>
      </c>
      <c r="AK16" s="321">
        <f t="shared" si="3"/>
        <v>12529.06</v>
      </c>
      <c r="AL16" s="321">
        <f t="shared" si="3"/>
        <v>0</v>
      </c>
      <c r="AM16" s="321">
        <f t="shared" si="3"/>
        <v>0</v>
      </c>
      <c r="AN16" s="321">
        <f t="shared" si="3"/>
        <v>0</v>
      </c>
      <c r="AO16" s="321">
        <f t="shared" si="3"/>
        <v>0</v>
      </c>
      <c r="AP16" s="70">
        <f t="shared" si="6"/>
        <v>12529.06</v>
      </c>
      <c r="AQ16" s="321">
        <f t="shared" si="7"/>
        <v>12529.06</v>
      </c>
      <c r="AR16" s="331">
        <f>+AP16-AQ16</f>
        <v>0</v>
      </c>
    </row>
    <row r="17" spans="1:44" ht="10.5">
      <c r="A17" s="1" t="s">
        <v>533</v>
      </c>
      <c r="B17" s="4">
        <v>7006700</v>
      </c>
      <c r="C17" s="1" t="s">
        <v>694</v>
      </c>
      <c r="D17" s="1" t="s">
        <v>231</v>
      </c>
      <c r="E17" s="338">
        <v>35400</v>
      </c>
      <c r="G17" s="1" t="s">
        <v>825</v>
      </c>
      <c r="H17" s="7"/>
      <c r="I17" s="7">
        <v>1</v>
      </c>
      <c r="J17" s="1" t="s">
        <v>754</v>
      </c>
      <c r="K17" s="1" t="s">
        <v>824</v>
      </c>
      <c r="L17" s="1" t="s">
        <v>745</v>
      </c>
      <c r="M17" s="333" t="s">
        <v>744</v>
      </c>
      <c r="N17" s="332">
        <v>40509</v>
      </c>
      <c r="O17" s="181">
        <v>5660.4</v>
      </c>
      <c r="P17" s="184"/>
      <c r="Q17" s="229"/>
      <c r="R17" s="192"/>
      <c r="S17" s="195"/>
      <c r="T17" s="238"/>
      <c r="U17" s="347"/>
      <c r="V17" s="212"/>
      <c r="W17" s="350"/>
      <c r="X17" s="222"/>
      <c r="Y17" s="304"/>
      <c r="Z17" s="172"/>
      <c r="AA17" s="8">
        <f t="shared" si="0"/>
        <v>5660.4</v>
      </c>
      <c r="AB17" s="1">
        <f t="shared" si="1"/>
        <v>1</v>
      </c>
      <c r="AC17" s="31">
        <f t="shared" si="2"/>
        <v>5660.4</v>
      </c>
      <c r="AE17" s="321">
        <f t="shared" si="5"/>
        <v>0</v>
      </c>
      <c r="AF17" s="321">
        <f t="shared" si="3"/>
        <v>0</v>
      </c>
      <c r="AG17" s="321">
        <f t="shared" si="3"/>
        <v>0</v>
      </c>
      <c r="AH17" s="321">
        <f t="shared" si="3"/>
        <v>0</v>
      </c>
      <c r="AI17" s="321">
        <f t="shared" si="3"/>
        <v>0</v>
      </c>
      <c r="AJ17" s="321">
        <f t="shared" si="3"/>
        <v>0</v>
      </c>
      <c r="AK17" s="321">
        <f t="shared" si="3"/>
        <v>5660.4</v>
      </c>
      <c r="AL17" s="321">
        <f t="shared" si="3"/>
        <v>0</v>
      </c>
      <c r="AM17" s="321">
        <f t="shared" si="3"/>
        <v>0</v>
      </c>
      <c r="AN17" s="321">
        <f t="shared" si="3"/>
        <v>0</v>
      </c>
      <c r="AO17" s="321">
        <f t="shared" si="3"/>
        <v>0</v>
      </c>
      <c r="AP17" s="70">
        <f t="shared" si="6"/>
        <v>5660.4</v>
      </c>
      <c r="AQ17" s="321">
        <f t="shared" si="7"/>
        <v>5660.4</v>
      </c>
      <c r="AR17" s="331">
        <f>+AP17-AQ17</f>
        <v>0</v>
      </c>
    </row>
    <row r="18" spans="1:44" ht="10.5">
      <c r="A18" s="1" t="s">
        <v>533</v>
      </c>
      <c r="B18" s="4">
        <v>15058371</v>
      </c>
      <c r="C18" s="1" t="s">
        <v>830</v>
      </c>
      <c r="D18" s="1" t="s">
        <v>231</v>
      </c>
      <c r="E18" s="338">
        <v>35400</v>
      </c>
      <c r="F18" s="7">
        <v>92</v>
      </c>
      <c r="G18" s="1" t="s">
        <v>825</v>
      </c>
      <c r="H18" s="7">
        <v>59</v>
      </c>
      <c r="I18" s="7">
        <v>1</v>
      </c>
      <c r="J18" s="1" t="s">
        <v>754</v>
      </c>
      <c r="K18" s="1" t="s">
        <v>824</v>
      </c>
      <c r="L18" s="1" t="s">
        <v>745</v>
      </c>
      <c r="M18" s="333" t="s">
        <v>744</v>
      </c>
      <c r="N18" s="332">
        <v>40509</v>
      </c>
      <c r="O18" s="192">
        <v>3287.31</v>
      </c>
      <c r="P18" s="192">
        <v>5995.53</v>
      </c>
      <c r="Q18" s="192">
        <v>5083.79</v>
      </c>
      <c r="R18" s="195">
        <v>7629.63</v>
      </c>
      <c r="S18" s="195">
        <v>3705.65</v>
      </c>
      <c r="T18" s="238">
        <v>2890.71</v>
      </c>
      <c r="U18" s="347">
        <v>2756.64</v>
      </c>
      <c r="V18" s="212">
        <v>3330.19</v>
      </c>
      <c r="W18" s="350">
        <v>7036.78</v>
      </c>
      <c r="X18" s="220">
        <v>8252.44</v>
      </c>
      <c r="Y18" s="304">
        <v>6473.23</v>
      </c>
      <c r="Z18" s="172">
        <v>7343.61</v>
      </c>
      <c r="AA18" s="8">
        <f t="shared" si="0"/>
        <v>63785.510000000009</v>
      </c>
      <c r="AB18" s="1">
        <f t="shared" si="1"/>
        <v>12</v>
      </c>
      <c r="AC18" s="31">
        <f t="shared" si="2"/>
        <v>5315.4591666666674</v>
      </c>
      <c r="AE18" s="321">
        <f t="shared" si="5"/>
        <v>0</v>
      </c>
      <c r="AF18" s="321">
        <f t="shared" si="5"/>
        <v>0</v>
      </c>
      <c r="AG18" s="321">
        <f t="shared" si="5"/>
        <v>0</v>
      </c>
      <c r="AH18" s="321">
        <f t="shared" si="5"/>
        <v>0</v>
      </c>
      <c r="AI18" s="321">
        <f t="shared" si="5"/>
        <v>0</v>
      </c>
      <c r="AJ18" s="321">
        <f t="shared" si="5"/>
        <v>0</v>
      </c>
      <c r="AK18" s="321">
        <f t="shared" si="5"/>
        <v>28592.620000000003</v>
      </c>
      <c r="AL18" s="321">
        <f t="shared" si="5"/>
        <v>0</v>
      </c>
      <c r="AM18" s="321">
        <f t="shared" si="5"/>
        <v>0</v>
      </c>
      <c r="AN18" s="321">
        <f t="shared" si="5"/>
        <v>0</v>
      </c>
      <c r="AO18" s="321">
        <f t="shared" si="5"/>
        <v>0</v>
      </c>
      <c r="AP18" s="70">
        <f t="shared" si="6"/>
        <v>28592.620000000003</v>
      </c>
      <c r="AQ18" s="321">
        <f t="shared" si="7"/>
        <v>28592.620000000003</v>
      </c>
      <c r="AR18" s="331">
        <f>+AP18-AQ18</f>
        <v>0</v>
      </c>
    </row>
    <row r="19" spans="1:44" ht="10.5">
      <c r="A19" s="1" t="s">
        <v>659</v>
      </c>
      <c r="B19" s="4">
        <v>15031812</v>
      </c>
      <c r="C19" s="1" t="s">
        <v>707</v>
      </c>
      <c r="D19" s="1" t="s">
        <v>688</v>
      </c>
      <c r="E19" s="7">
        <v>1987</v>
      </c>
      <c r="F19" s="7">
        <v>88</v>
      </c>
      <c r="G19" s="1" t="s">
        <v>688</v>
      </c>
      <c r="H19" s="7">
        <v>105</v>
      </c>
      <c r="I19" s="7">
        <v>2</v>
      </c>
      <c r="J19" s="1" t="s">
        <v>754</v>
      </c>
      <c r="K19" s="1" t="s">
        <v>402</v>
      </c>
      <c r="L19" s="1" t="s">
        <v>745</v>
      </c>
      <c r="M19" s="333" t="s">
        <v>744</v>
      </c>
      <c r="N19" s="332">
        <v>40505</v>
      </c>
      <c r="O19" s="181">
        <v>19880.14</v>
      </c>
      <c r="P19" s="184">
        <v>13725.91</v>
      </c>
      <c r="Q19" s="233">
        <v>16947.64</v>
      </c>
      <c r="R19" s="193">
        <v>22403.95</v>
      </c>
      <c r="S19" s="240">
        <v>12220.48</v>
      </c>
      <c r="T19" s="240">
        <v>9381</v>
      </c>
      <c r="U19" s="348">
        <v>9243.58</v>
      </c>
      <c r="V19" s="211">
        <v>10330.41</v>
      </c>
      <c r="W19" s="351">
        <v>14319.75</v>
      </c>
      <c r="X19" s="222">
        <v>17808.68</v>
      </c>
      <c r="Y19" s="316">
        <v>17063.580000000002</v>
      </c>
      <c r="Z19" s="173">
        <v>17947.009999999998</v>
      </c>
      <c r="AA19" s="8">
        <f t="shared" si="0"/>
        <v>181272.13</v>
      </c>
      <c r="AB19" s="1">
        <f t="shared" si="1"/>
        <v>12</v>
      </c>
      <c r="AC19" s="31">
        <f t="shared" si="2"/>
        <v>15106.010833333334</v>
      </c>
      <c r="AE19" s="321">
        <f t="shared" si="5"/>
        <v>0</v>
      </c>
      <c r="AF19" s="321">
        <f t="shared" si="5"/>
        <v>0</v>
      </c>
      <c r="AG19" s="321">
        <f t="shared" si="5"/>
        <v>0</v>
      </c>
      <c r="AH19" s="321">
        <f t="shared" si="5"/>
        <v>0</v>
      </c>
      <c r="AI19" s="321">
        <f t="shared" si="5"/>
        <v>0</v>
      </c>
      <c r="AJ19" s="321">
        <f t="shared" si="5"/>
        <v>0</v>
      </c>
      <c r="AK19" s="321">
        <f t="shared" si="5"/>
        <v>0</v>
      </c>
      <c r="AL19" s="321">
        <f t="shared" si="5"/>
        <v>94559.12</v>
      </c>
      <c r="AM19" s="321">
        <f t="shared" si="5"/>
        <v>0</v>
      </c>
      <c r="AN19" s="321">
        <f t="shared" si="5"/>
        <v>0</v>
      </c>
      <c r="AO19" s="321">
        <f t="shared" si="5"/>
        <v>0</v>
      </c>
      <c r="AP19" s="70">
        <f t="shared" si="6"/>
        <v>94559.12</v>
      </c>
      <c r="AQ19" s="321">
        <f t="shared" si="7"/>
        <v>94559.12</v>
      </c>
      <c r="AR19" s="331">
        <f>+AP19-AQ19</f>
        <v>0</v>
      </c>
    </row>
    <row r="20" spans="1:44" ht="10.5">
      <c r="A20" s="1" t="s">
        <v>659</v>
      </c>
      <c r="B20" s="4">
        <v>7007500</v>
      </c>
      <c r="C20" s="1" t="s">
        <v>234</v>
      </c>
      <c r="D20" s="1" t="s">
        <v>234</v>
      </c>
      <c r="E20" s="338">
        <v>35977</v>
      </c>
      <c r="F20" s="7">
        <v>95</v>
      </c>
      <c r="G20" s="1" t="s">
        <v>234</v>
      </c>
      <c r="H20" s="7">
        <v>53</v>
      </c>
      <c r="I20" s="7">
        <v>0</v>
      </c>
      <c r="J20" s="1" t="s">
        <v>758</v>
      </c>
      <c r="K20" s="1" t="s">
        <v>409</v>
      </c>
      <c r="L20" s="1" t="s">
        <v>745</v>
      </c>
      <c r="M20" s="333" t="s">
        <v>744</v>
      </c>
      <c r="N20" s="332">
        <v>40505</v>
      </c>
      <c r="O20" s="181">
        <v>13330.92</v>
      </c>
      <c r="P20" s="184">
        <v>11773.61</v>
      </c>
      <c r="Q20" s="229">
        <v>11912.13</v>
      </c>
      <c r="R20" s="192">
        <v>14808.28</v>
      </c>
      <c r="S20" s="238">
        <v>8997.4699999999993</v>
      </c>
      <c r="T20" s="238">
        <v>7937.17</v>
      </c>
      <c r="U20" s="347">
        <v>7818.83</v>
      </c>
      <c r="V20" s="212">
        <v>8070.46</v>
      </c>
      <c r="W20" s="350">
        <v>11533.96</v>
      </c>
      <c r="X20" s="220">
        <v>14777.81</v>
      </c>
      <c r="Y20" s="304">
        <v>11783.78</v>
      </c>
      <c r="Z20" s="172">
        <v>13029.27</v>
      </c>
      <c r="AA20" s="8">
        <f t="shared" si="0"/>
        <v>135773.69</v>
      </c>
      <c r="AB20" s="1">
        <f t="shared" si="1"/>
        <v>12</v>
      </c>
      <c r="AC20" s="31">
        <f t="shared" si="2"/>
        <v>11314.474166666667</v>
      </c>
      <c r="AE20" s="321">
        <f t="shared" si="5"/>
        <v>0</v>
      </c>
      <c r="AF20" s="321">
        <f t="shared" si="5"/>
        <v>0</v>
      </c>
      <c r="AG20" s="321">
        <f t="shared" si="5"/>
        <v>0</v>
      </c>
      <c r="AH20" s="321">
        <f t="shared" si="5"/>
        <v>0</v>
      </c>
      <c r="AI20" s="321">
        <f t="shared" si="5"/>
        <v>0</v>
      </c>
      <c r="AJ20" s="321">
        <f t="shared" si="5"/>
        <v>0</v>
      </c>
      <c r="AK20" s="321">
        <f t="shared" si="5"/>
        <v>0</v>
      </c>
      <c r="AL20" s="321">
        <f t="shared" si="5"/>
        <v>68759.58</v>
      </c>
      <c r="AM20" s="321">
        <f t="shared" si="5"/>
        <v>0</v>
      </c>
      <c r="AN20" s="321">
        <f t="shared" si="5"/>
        <v>0</v>
      </c>
      <c r="AO20" s="321">
        <f t="shared" si="5"/>
        <v>0</v>
      </c>
      <c r="AP20" s="70">
        <f t="shared" si="6"/>
        <v>68759.58</v>
      </c>
      <c r="AQ20" s="321">
        <f t="shared" si="7"/>
        <v>68759.58</v>
      </c>
      <c r="AR20" s="331"/>
    </row>
    <row r="21" spans="1:44" ht="10.5">
      <c r="B21" s="4">
        <v>15061966</v>
      </c>
      <c r="D21" s="1" t="s">
        <v>232</v>
      </c>
      <c r="E21" s="338"/>
      <c r="H21" s="7"/>
      <c r="I21" s="7"/>
      <c r="M21" s="333"/>
      <c r="N21" s="332"/>
      <c r="O21" s="180"/>
      <c r="P21" s="185"/>
      <c r="Q21" s="233"/>
      <c r="R21" s="193"/>
      <c r="S21" s="240"/>
      <c r="T21" s="240"/>
      <c r="U21" s="348"/>
      <c r="V21" s="211"/>
      <c r="W21" s="351"/>
      <c r="X21" s="222"/>
      <c r="Y21" s="316"/>
      <c r="Z21" s="229">
        <v>2680.17</v>
      </c>
      <c r="AA21" s="8">
        <f>+SUM(O21:Z21)</f>
        <v>2680.17</v>
      </c>
      <c r="AB21" s="1">
        <f>COUNT(O21:Z21)</f>
        <v>1</v>
      </c>
      <c r="AC21" s="31">
        <f>+IF(AA21=0,0,AA21/AB21)</f>
        <v>2680.17</v>
      </c>
      <c r="AE21" s="321"/>
      <c r="AF21" s="321"/>
      <c r="AG21" s="321"/>
      <c r="AH21" s="321"/>
      <c r="AI21" s="321"/>
      <c r="AJ21" s="321"/>
      <c r="AK21" s="321"/>
      <c r="AL21" s="321"/>
      <c r="AM21" s="321"/>
      <c r="AN21" s="321"/>
      <c r="AO21" s="321"/>
      <c r="AP21" s="70"/>
      <c r="AQ21" s="321"/>
      <c r="AR21" s="331"/>
    </row>
    <row r="22" spans="1:44" ht="10.5">
      <c r="A22" s="1" t="s">
        <v>535</v>
      </c>
      <c r="B22" s="4">
        <v>7005300</v>
      </c>
      <c r="C22" s="1" t="s">
        <v>235</v>
      </c>
      <c r="D22" s="1" t="s">
        <v>235</v>
      </c>
      <c r="E22" s="338">
        <v>32325</v>
      </c>
      <c r="F22" s="7">
        <v>96</v>
      </c>
      <c r="G22" s="1" t="s">
        <v>823</v>
      </c>
      <c r="H22" s="7">
        <v>146</v>
      </c>
      <c r="I22" s="7">
        <v>2</v>
      </c>
      <c r="J22" s="1" t="s">
        <v>765</v>
      </c>
      <c r="K22" s="1" t="s">
        <v>822</v>
      </c>
      <c r="L22" s="1" t="s">
        <v>745</v>
      </c>
      <c r="M22" s="333" t="s">
        <v>744</v>
      </c>
      <c r="N22" s="332">
        <v>40511</v>
      </c>
      <c r="O22" s="181">
        <v>33479.71</v>
      </c>
      <c r="P22" s="184">
        <v>31694.68</v>
      </c>
      <c r="Q22" s="229">
        <v>32962.6</v>
      </c>
      <c r="R22" s="192">
        <v>38528.67</v>
      </c>
      <c r="S22" s="195">
        <v>16597.939999999999</v>
      </c>
      <c r="T22" s="32"/>
      <c r="U22" s="347">
        <v>58549.29</v>
      </c>
      <c r="V22" s="212">
        <v>68338.509999999995</v>
      </c>
      <c r="W22" s="32"/>
      <c r="X22" s="220"/>
      <c r="Y22" s="32"/>
      <c r="Z22" s="32"/>
      <c r="AA22" s="8">
        <f t="shared" si="0"/>
        <v>280151.39999999997</v>
      </c>
      <c r="AB22" s="1">
        <f t="shared" si="1"/>
        <v>7</v>
      </c>
      <c r="AC22" s="31">
        <f t="shared" si="2"/>
        <v>40021.62857142857</v>
      </c>
      <c r="AE22" s="321">
        <f t="shared" si="5"/>
        <v>0</v>
      </c>
      <c r="AF22" s="321">
        <f t="shared" si="5"/>
        <v>0</v>
      </c>
      <c r="AG22" s="321">
        <f t="shared" si="5"/>
        <v>0</v>
      </c>
      <c r="AH22" s="321">
        <f t="shared" si="5"/>
        <v>0</v>
      </c>
      <c r="AI22" s="321">
        <f t="shared" si="5"/>
        <v>0</v>
      </c>
      <c r="AJ22" s="321">
        <f t="shared" si="5"/>
        <v>153263.59999999998</v>
      </c>
      <c r="AK22" s="321">
        <f t="shared" si="5"/>
        <v>0</v>
      </c>
      <c r="AL22" s="321">
        <f t="shared" si="5"/>
        <v>0</v>
      </c>
      <c r="AM22" s="321">
        <f t="shared" si="5"/>
        <v>0</v>
      </c>
      <c r="AN22" s="321">
        <f t="shared" si="5"/>
        <v>0</v>
      </c>
      <c r="AO22" s="321">
        <f t="shared" si="5"/>
        <v>0</v>
      </c>
      <c r="AP22" s="70">
        <f t="shared" si="6"/>
        <v>153263.59999999998</v>
      </c>
      <c r="AQ22" s="321">
        <f t="shared" si="7"/>
        <v>153263.59999999998</v>
      </c>
      <c r="AR22" s="331">
        <f>+AP22-AQ22</f>
        <v>0</v>
      </c>
    </row>
    <row r="23" spans="1:44" ht="10.5">
      <c r="A23" s="1" t="s">
        <v>530</v>
      </c>
      <c r="B23" s="4">
        <v>15051244</v>
      </c>
      <c r="C23" s="1" t="s">
        <v>503</v>
      </c>
      <c r="D23" s="1" t="s">
        <v>651</v>
      </c>
      <c r="E23" s="338">
        <v>36220</v>
      </c>
      <c r="F23" s="7">
        <v>97</v>
      </c>
      <c r="G23" s="1" t="s">
        <v>821</v>
      </c>
      <c r="H23" s="7">
        <v>90</v>
      </c>
      <c r="I23" s="7">
        <v>1</v>
      </c>
      <c r="J23" s="1" t="s">
        <v>765</v>
      </c>
      <c r="K23" s="1" t="s">
        <v>397</v>
      </c>
      <c r="L23" s="1" t="s">
        <v>745</v>
      </c>
      <c r="M23" s="333" t="s">
        <v>744</v>
      </c>
      <c r="N23" s="332">
        <v>40509</v>
      </c>
      <c r="O23" s="181">
        <v>24701.34</v>
      </c>
      <c r="P23" s="184">
        <v>22492.11</v>
      </c>
      <c r="Q23" s="229">
        <v>20910.599999999999</v>
      </c>
      <c r="R23" s="192">
        <v>28373.85</v>
      </c>
      <c r="S23" s="238">
        <v>18929.080000000002</v>
      </c>
      <c r="T23" s="238">
        <v>14378.94</v>
      </c>
      <c r="U23" s="347">
        <v>15044.75</v>
      </c>
      <c r="V23" s="212">
        <v>16568.2</v>
      </c>
      <c r="W23" s="350">
        <v>21974.2</v>
      </c>
      <c r="X23" s="220">
        <v>26150.68</v>
      </c>
      <c r="Y23" s="304">
        <v>24186.75</v>
      </c>
      <c r="Z23" s="172">
        <v>21502.959999999999</v>
      </c>
      <c r="AA23" s="8">
        <f t="shared" si="0"/>
        <v>255213.46</v>
      </c>
      <c r="AB23" s="1">
        <f t="shared" si="1"/>
        <v>12</v>
      </c>
      <c r="AC23" s="31">
        <f t="shared" si="2"/>
        <v>21267.788333333334</v>
      </c>
      <c r="AE23" s="321">
        <f t="shared" si="5"/>
        <v>0</v>
      </c>
      <c r="AF23" s="321">
        <f t="shared" si="5"/>
        <v>0</v>
      </c>
      <c r="AG23" s="321">
        <f t="shared" si="5"/>
        <v>0</v>
      </c>
      <c r="AH23" s="321">
        <f t="shared" si="5"/>
        <v>129785.92</v>
      </c>
      <c r="AI23" s="321">
        <f t="shared" si="5"/>
        <v>0</v>
      </c>
      <c r="AJ23" s="321">
        <f t="shared" si="5"/>
        <v>0</v>
      </c>
      <c r="AK23" s="321">
        <f t="shared" si="5"/>
        <v>0</v>
      </c>
      <c r="AL23" s="321">
        <f t="shared" si="5"/>
        <v>0</v>
      </c>
      <c r="AM23" s="321">
        <f t="shared" si="5"/>
        <v>0</v>
      </c>
      <c r="AN23" s="321">
        <f t="shared" si="5"/>
        <v>0</v>
      </c>
      <c r="AO23" s="321">
        <f t="shared" si="5"/>
        <v>0</v>
      </c>
      <c r="AP23" s="70">
        <f t="shared" si="6"/>
        <v>129785.92</v>
      </c>
      <c r="AQ23" s="321">
        <f t="shared" si="7"/>
        <v>129785.92</v>
      </c>
      <c r="AR23" s="331">
        <f>+AP23-AQ23</f>
        <v>0</v>
      </c>
    </row>
    <row r="24" spans="1:44" ht="10.5">
      <c r="A24" s="1" t="s">
        <v>535</v>
      </c>
      <c r="B24" s="4">
        <v>15059166</v>
      </c>
      <c r="C24" s="1" t="s">
        <v>851</v>
      </c>
      <c r="D24" s="1" t="s">
        <v>852</v>
      </c>
      <c r="E24" s="7"/>
      <c r="H24" s="7">
        <v>146</v>
      </c>
      <c r="I24" s="7"/>
      <c r="M24" s="333"/>
      <c r="N24" s="332"/>
      <c r="O24" s="181"/>
      <c r="P24" s="184"/>
      <c r="Q24" s="229"/>
      <c r="R24" s="192"/>
      <c r="S24" s="304">
        <v>10029.26</v>
      </c>
      <c r="T24" s="304">
        <v>15954.11</v>
      </c>
      <c r="U24" s="304">
        <v>20631.032999999999</v>
      </c>
      <c r="V24" s="304">
        <v>21841.83</v>
      </c>
      <c r="W24" s="304">
        <v>28159.45</v>
      </c>
      <c r="X24" s="220">
        <v>36762.46</v>
      </c>
      <c r="Y24" s="304">
        <v>34127.629999999997</v>
      </c>
      <c r="Z24" s="172">
        <v>31332.48</v>
      </c>
      <c r="AA24" s="8">
        <f t="shared" si="0"/>
        <v>198838.25300000003</v>
      </c>
      <c r="AB24" s="1">
        <f t="shared" si="1"/>
        <v>8</v>
      </c>
      <c r="AC24" s="31">
        <f t="shared" si="2"/>
        <v>24854.781625000003</v>
      </c>
      <c r="AE24" s="321">
        <f t="shared" si="5"/>
        <v>0</v>
      </c>
      <c r="AF24" s="321">
        <f t="shared" si="5"/>
        <v>0</v>
      </c>
      <c r="AG24" s="321">
        <f t="shared" si="5"/>
        <v>0</v>
      </c>
      <c r="AH24" s="321">
        <f t="shared" si="5"/>
        <v>0</v>
      </c>
      <c r="AI24" s="321">
        <f t="shared" si="5"/>
        <v>0</v>
      </c>
      <c r="AJ24" s="321">
        <f t="shared" si="5"/>
        <v>25983.370000000003</v>
      </c>
      <c r="AK24" s="321">
        <f t="shared" si="5"/>
        <v>0</v>
      </c>
      <c r="AL24" s="321">
        <f t="shared" si="5"/>
        <v>0</v>
      </c>
      <c r="AM24" s="321">
        <f t="shared" si="5"/>
        <v>0</v>
      </c>
      <c r="AN24" s="321">
        <f t="shared" si="5"/>
        <v>0</v>
      </c>
      <c r="AO24" s="321">
        <f t="shared" si="5"/>
        <v>0</v>
      </c>
      <c r="AP24" s="70">
        <f t="shared" si="6"/>
        <v>25983.370000000003</v>
      </c>
      <c r="AQ24" s="321">
        <f t="shared" si="7"/>
        <v>25983.370000000003</v>
      </c>
      <c r="AR24" s="331">
        <f>+AP24-AQ24</f>
        <v>0</v>
      </c>
    </row>
    <row r="25" spans="1:44" ht="10.5">
      <c r="A25" s="1" t="s">
        <v>533</v>
      </c>
      <c r="B25" s="4">
        <v>15052479</v>
      </c>
      <c r="C25" s="1" t="s">
        <v>649</v>
      </c>
      <c r="D25" s="1" t="s">
        <v>710</v>
      </c>
      <c r="E25" s="7">
        <v>1986</v>
      </c>
      <c r="F25" s="7">
        <v>348</v>
      </c>
      <c r="G25" s="1" t="s">
        <v>759</v>
      </c>
      <c r="H25" s="7">
        <v>60</v>
      </c>
      <c r="I25" s="7">
        <v>0</v>
      </c>
      <c r="K25" s="1" t="s">
        <v>452</v>
      </c>
      <c r="L25" s="1" t="s">
        <v>745</v>
      </c>
      <c r="M25" s="333" t="s">
        <v>744</v>
      </c>
      <c r="N25" s="332">
        <v>40517</v>
      </c>
      <c r="O25" s="181">
        <f>15.81+2870.07</f>
        <v>2885.88</v>
      </c>
      <c r="P25" s="184">
        <v>7.58</v>
      </c>
      <c r="Q25" s="229"/>
      <c r="R25" s="192"/>
      <c r="S25" s="195"/>
      <c r="T25" s="238"/>
      <c r="U25" s="347"/>
      <c r="V25" s="212"/>
      <c r="W25" s="350"/>
      <c r="X25" s="220"/>
      <c r="Y25" s="304"/>
      <c r="Z25" s="172"/>
      <c r="AA25" s="8">
        <f t="shared" si="0"/>
        <v>2893.46</v>
      </c>
      <c r="AB25" s="1">
        <f t="shared" si="1"/>
        <v>2</v>
      </c>
      <c r="AC25" s="31">
        <f t="shared" si="2"/>
        <v>1446.73</v>
      </c>
      <c r="AE25" s="321">
        <f t="shared" si="5"/>
        <v>0</v>
      </c>
      <c r="AF25" s="321">
        <f t="shared" si="5"/>
        <v>0</v>
      </c>
      <c r="AG25" s="321">
        <f t="shared" si="5"/>
        <v>0</v>
      </c>
      <c r="AH25" s="321">
        <f t="shared" si="5"/>
        <v>0</v>
      </c>
      <c r="AI25" s="321">
        <f t="shared" si="5"/>
        <v>0</v>
      </c>
      <c r="AJ25" s="321">
        <f t="shared" si="5"/>
        <v>0</v>
      </c>
      <c r="AK25" s="321">
        <f t="shared" si="5"/>
        <v>2893.46</v>
      </c>
      <c r="AL25" s="321">
        <f t="shared" si="5"/>
        <v>0</v>
      </c>
      <c r="AM25" s="321">
        <f t="shared" si="5"/>
        <v>0</v>
      </c>
      <c r="AN25" s="321">
        <f t="shared" si="5"/>
        <v>0</v>
      </c>
      <c r="AO25" s="321">
        <f t="shared" si="5"/>
        <v>0</v>
      </c>
      <c r="AP25" s="70">
        <f t="shared" si="6"/>
        <v>2893.46</v>
      </c>
      <c r="AQ25" s="321">
        <f t="shared" si="7"/>
        <v>2893.46</v>
      </c>
      <c r="AR25" s="331">
        <f>+AP25-AQ25</f>
        <v>0</v>
      </c>
    </row>
    <row r="26" spans="1:44" ht="10.5">
      <c r="A26" s="1" t="s">
        <v>537</v>
      </c>
      <c r="B26" s="4">
        <v>15036832</v>
      </c>
      <c r="C26" s="1" t="s">
        <v>504</v>
      </c>
      <c r="D26" s="1" t="s">
        <v>504</v>
      </c>
      <c r="E26" s="338">
        <v>41030</v>
      </c>
      <c r="F26" s="7">
        <v>4208</v>
      </c>
      <c r="G26" s="1" t="s">
        <v>820</v>
      </c>
      <c r="H26" s="7">
        <v>103</v>
      </c>
      <c r="I26" s="7">
        <v>1</v>
      </c>
      <c r="J26" s="1" t="s">
        <v>765</v>
      </c>
      <c r="K26" s="1" t="s">
        <v>819</v>
      </c>
      <c r="L26" s="1" t="s">
        <v>745</v>
      </c>
      <c r="M26" s="333" t="s">
        <v>744</v>
      </c>
      <c r="N26" s="332">
        <v>40513</v>
      </c>
      <c r="O26" s="181">
        <v>25016.67</v>
      </c>
      <c r="P26" s="184">
        <v>27503.13</v>
      </c>
      <c r="Q26" s="229">
        <v>29056.43</v>
      </c>
      <c r="R26" s="192">
        <v>38159.17</v>
      </c>
      <c r="S26" s="238">
        <v>23015.759999999998</v>
      </c>
      <c r="T26" s="238">
        <v>16805.32</v>
      </c>
      <c r="U26" s="347">
        <v>19241.61</v>
      </c>
      <c r="V26" s="212">
        <v>21211.75</v>
      </c>
      <c r="W26" s="350">
        <v>22382.94</v>
      </c>
      <c r="X26" s="220">
        <v>33280.25</v>
      </c>
      <c r="Y26" s="304">
        <v>29730.39</v>
      </c>
      <c r="Z26" s="172">
        <v>26096.47</v>
      </c>
      <c r="AA26" s="8">
        <f t="shared" si="0"/>
        <v>311499.89</v>
      </c>
      <c r="AB26" s="1">
        <f t="shared" si="1"/>
        <v>12</v>
      </c>
      <c r="AC26" s="31">
        <f t="shared" si="2"/>
        <v>25958.324166666669</v>
      </c>
      <c r="AE26" s="321">
        <f t="shared" si="5"/>
        <v>0</v>
      </c>
      <c r="AF26" s="321">
        <f t="shared" si="5"/>
        <v>159556.48000000001</v>
      </c>
      <c r="AG26" s="321">
        <f t="shared" si="5"/>
        <v>0</v>
      </c>
      <c r="AH26" s="321">
        <f t="shared" si="5"/>
        <v>0</v>
      </c>
      <c r="AI26" s="321">
        <f t="shared" si="5"/>
        <v>0</v>
      </c>
      <c r="AJ26" s="321">
        <f t="shared" si="5"/>
        <v>0</v>
      </c>
      <c r="AK26" s="321">
        <f t="shared" si="5"/>
        <v>0</v>
      </c>
      <c r="AL26" s="321">
        <f t="shared" si="5"/>
        <v>0</v>
      </c>
      <c r="AM26" s="321">
        <f t="shared" si="5"/>
        <v>0</v>
      </c>
      <c r="AN26" s="321">
        <f t="shared" si="5"/>
        <v>0</v>
      </c>
      <c r="AO26" s="321">
        <f t="shared" si="5"/>
        <v>0</v>
      </c>
      <c r="AP26" s="70">
        <f t="shared" si="6"/>
        <v>159556.48000000001</v>
      </c>
      <c r="AQ26" s="321">
        <f t="shared" si="7"/>
        <v>159556.48000000001</v>
      </c>
      <c r="AR26" s="331"/>
    </row>
    <row r="27" spans="1:44" ht="10.5">
      <c r="A27" s="1" t="s">
        <v>662</v>
      </c>
      <c r="B27" s="4">
        <v>7002000</v>
      </c>
      <c r="C27" s="1" t="s">
        <v>629</v>
      </c>
      <c r="D27" s="1" t="s">
        <v>505</v>
      </c>
      <c r="H27" s="1">
        <v>176</v>
      </c>
      <c r="K27" s="1" t="s">
        <v>456</v>
      </c>
      <c r="L27" s="1" t="s">
        <v>745</v>
      </c>
      <c r="M27" s="333" t="s">
        <v>744</v>
      </c>
      <c r="N27" s="1">
        <v>40505</v>
      </c>
      <c r="O27" s="181">
        <v>13959.07</v>
      </c>
      <c r="P27" s="184">
        <v>10809.41</v>
      </c>
      <c r="Q27" s="229">
        <v>13726.77</v>
      </c>
      <c r="R27" s="192">
        <v>14924</v>
      </c>
      <c r="S27" s="238">
        <v>6965.61</v>
      </c>
      <c r="T27" s="238">
        <v>6247.9</v>
      </c>
      <c r="U27" s="347">
        <v>4116.26</v>
      </c>
      <c r="V27" s="212">
        <v>6001.95</v>
      </c>
      <c r="W27" s="350">
        <v>13021.55</v>
      </c>
      <c r="X27" s="220">
        <v>13291.61</v>
      </c>
      <c r="Y27" s="304">
        <v>11749.85</v>
      </c>
      <c r="Z27" s="172">
        <v>14827.07</v>
      </c>
      <c r="AA27" s="8">
        <f t="shared" si="0"/>
        <v>129641.04999999999</v>
      </c>
      <c r="AB27" s="1">
        <f t="shared" si="1"/>
        <v>12</v>
      </c>
      <c r="AC27" s="31">
        <f t="shared" si="2"/>
        <v>10803.420833333332</v>
      </c>
      <c r="AE27" s="321">
        <f t="shared" si="5"/>
        <v>0</v>
      </c>
      <c r="AF27" s="321">
        <f t="shared" si="5"/>
        <v>0</v>
      </c>
      <c r="AG27" s="321">
        <f t="shared" si="5"/>
        <v>0</v>
      </c>
      <c r="AH27" s="321">
        <f t="shared" si="5"/>
        <v>0</v>
      </c>
      <c r="AI27" s="321">
        <f t="shared" si="5"/>
        <v>66632.759999999995</v>
      </c>
      <c r="AJ27" s="321">
        <f t="shared" si="5"/>
        <v>0</v>
      </c>
      <c r="AK27" s="321">
        <f t="shared" si="5"/>
        <v>0</v>
      </c>
      <c r="AL27" s="321">
        <f t="shared" si="5"/>
        <v>0</v>
      </c>
      <c r="AM27" s="321">
        <f t="shared" si="5"/>
        <v>0</v>
      </c>
      <c r="AN27" s="321">
        <f t="shared" si="5"/>
        <v>0</v>
      </c>
      <c r="AO27" s="321">
        <f t="shared" si="5"/>
        <v>0</v>
      </c>
      <c r="AP27" s="70">
        <f t="shared" si="6"/>
        <v>66632.759999999995</v>
      </c>
      <c r="AQ27" s="321">
        <f t="shared" si="7"/>
        <v>66632.759999999995</v>
      </c>
      <c r="AR27" s="331">
        <f t="shared" ref="AR27:AR35" si="8">+AP27-AQ27</f>
        <v>0</v>
      </c>
    </row>
    <row r="28" spans="1:44" ht="10.5">
      <c r="A28" s="1" t="s">
        <v>533</v>
      </c>
      <c r="B28" s="4">
        <v>15007853</v>
      </c>
      <c r="C28" s="1" t="s">
        <v>632</v>
      </c>
      <c r="D28" s="1" t="s">
        <v>238</v>
      </c>
      <c r="E28" s="338">
        <v>32568</v>
      </c>
      <c r="F28" s="7">
        <v>98</v>
      </c>
      <c r="G28" s="1" t="s">
        <v>238</v>
      </c>
      <c r="H28" s="7">
        <v>55</v>
      </c>
      <c r="I28" s="7">
        <v>0</v>
      </c>
      <c r="J28" s="1" t="s">
        <v>776</v>
      </c>
      <c r="K28" s="1" t="s">
        <v>817</v>
      </c>
      <c r="L28" s="1" t="s">
        <v>745</v>
      </c>
      <c r="M28" s="333" t="s">
        <v>744</v>
      </c>
      <c r="N28" s="332">
        <v>40509</v>
      </c>
      <c r="O28" s="181">
        <v>5848.51</v>
      </c>
      <c r="P28" s="347">
        <v>4395.83</v>
      </c>
      <c r="Q28" s="347">
        <v>4815.57</v>
      </c>
      <c r="R28" s="347">
        <v>6028.31</v>
      </c>
      <c r="S28" s="347">
        <v>2944.99</v>
      </c>
      <c r="T28" s="347">
        <v>2976.68</v>
      </c>
      <c r="U28" s="347">
        <v>2545.06</v>
      </c>
      <c r="V28" s="220">
        <v>2163.2399999999998</v>
      </c>
      <c r="W28" s="220">
        <v>4046.79</v>
      </c>
      <c r="X28" s="220">
        <v>5529.05</v>
      </c>
      <c r="Y28" s="181">
        <v>5024.16</v>
      </c>
      <c r="Z28" s="181">
        <v>4852.8900000000003</v>
      </c>
      <c r="AA28" s="8">
        <f t="shared" si="0"/>
        <v>51171.08</v>
      </c>
      <c r="AB28" s="1">
        <f t="shared" si="1"/>
        <v>12</v>
      </c>
      <c r="AC28" s="31">
        <f t="shared" si="2"/>
        <v>4264.2566666666671</v>
      </c>
      <c r="AE28" s="321">
        <f t="shared" si="5"/>
        <v>0</v>
      </c>
      <c r="AF28" s="321">
        <f t="shared" si="5"/>
        <v>0</v>
      </c>
      <c r="AG28" s="321">
        <f t="shared" si="5"/>
        <v>0</v>
      </c>
      <c r="AH28" s="321">
        <f t="shared" si="5"/>
        <v>0</v>
      </c>
      <c r="AI28" s="321">
        <f t="shared" si="5"/>
        <v>0</v>
      </c>
      <c r="AJ28" s="321">
        <f t="shared" si="5"/>
        <v>0</v>
      </c>
      <c r="AK28" s="321">
        <f t="shared" si="5"/>
        <v>27009.89</v>
      </c>
      <c r="AL28" s="321">
        <f t="shared" si="5"/>
        <v>0</v>
      </c>
      <c r="AM28" s="321">
        <f t="shared" si="5"/>
        <v>0</v>
      </c>
      <c r="AN28" s="321">
        <f t="shared" si="5"/>
        <v>0</v>
      </c>
      <c r="AO28" s="321">
        <f t="shared" si="5"/>
        <v>0</v>
      </c>
      <c r="AP28" s="70">
        <f t="shared" si="6"/>
        <v>27009.89</v>
      </c>
      <c r="AQ28" s="321">
        <f t="shared" si="7"/>
        <v>27009.89</v>
      </c>
      <c r="AR28" s="331">
        <f t="shared" si="8"/>
        <v>0</v>
      </c>
    </row>
    <row r="29" spans="1:44" ht="10.5">
      <c r="A29" s="1" t="s">
        <v>539</v>
      </c>
      <c r="B29" s="4">
        <v>7000700</v>
      </c>
      <c r="C29" s="1" t="s">
        <v>239</v>
      </c>
      <c r="D29" s="1" t="s">
        <v>239</v>
      </c>
      <c r="E29" s="7"/>
      <c r="F29" s="7">
        <v>99</v>
      </c>
      <c r="G29" s="1" t="s">
        <v>818</v>
      </c>
      <c r="H29" s="7">
        <v>44</v>
      </c>
      <c r="I29" s="7">
        <v>0</v>
      </c>
      <c r="K29" s="1" t="s">
        <v>412</v>
      </c>
      <c r="L29" s="1" t="s">
        <v>745</v>
      </c>
      <c r="M29" s="333" t="s">
        <v>744</v>
      </c>
      <c r="N29" s="332">
        <v>40504</v>
      </c>
      <c r="O29" s="181">
        <v>1122</v>
      </c>
      <c r="P29" s="184">
        <v>1147.5</v>
      </c>
      <c r="Q29" s="229">
        <v>1160.25</v>
      </c>
      <c r="R29" s="192">
        <v>1151.75</v>
      </c>
      <c r="S29" s="238">
        <v>1113.5</v>
      </c>
      <c r="T29" s="238">
        <v>1122</v>
      </c>
      <c r="U29" s="347">
        <v>1147.5</v>
      </c>
      <c r="V29" s="212">
        <v>1083.75</v>
      </c>
      <c r="W29" s="350">
        <v>977.5</v>
      </c>
      <c r="X29" s="220">
        <v>943.5</v>
      </c>
      <c r="Y29" s="304">
        <v>935</v>
      </c>
      <c r="Z29" s="172">
        <v>922.25</v>
      </c>
      <c r="AA29" s="8">
        <f t="shared" si="0"/>
        <v>12826.5</v>
      </c>
      <c r="AB29" s="1">
        <f t="shared" si="1"/>
        <v>12</v>
      </c>
      <c r="AC29" s="31">
        <f t="shared" si="2"/>
        <v>1068.875</v>
      </c>
      <c r="AE29" s="321">
        <f t="shared" si="5"/>
        <v>6817</v>
      </c>
      <c r="AF29" s="321">
        <f t="shared" si="5"/>
        <v>0</v>
      </c>
      <c r="AG29" s="321">
        <f t="shared" si="5"/>
        <v>0</v>
      </c>
      <c r="AH29" s="321">
        <f t="shared" si="5"/>
        <v>0</v>
      </c>
      <c r="AI29" s="321">
        <f t="shared" si="5"/>
        <v>0</v>
      </c>
      <c r="AJ29" s="321">
        <f t="shared" si="5"/>
        <v>0</v>
      </c>
      <c r="AK29" s="321">
        <f t="shared" si="5"/>
        <v>0</v>
      </c>
      <c r="AL29" s="321">
        <f t="shared" si="5"/>
        <v>0</v>
      </c>
      <c r="AM29" s="321">
        <f t="shared" si="5"/>
        <v>0</v>
      </c>
      <c r="AN29" s="321">
        <f t="shared" si="5"/>
        <v>0</v>
      </c>
      <c r="AO29" s="321">
        <f t="shared" si="5"/>
        <v>0</v>
      </c>
      <c r="AP29" s="70">
        <f t="shared" si="6"/>
        <v>6817</v>
      </c>
      <c r="AQ29" s="321">
        <f t="shared" si="7"/>
        <v>6817</v>
      </c>
      <c r="AR29" s="331">
        <f t="shared" si="8"/>
        <v>0</v>
      </c>
    </row>
    <row r="30" spans="1:44" ht="10.5">
      <c r="A30" s="1" t="s">
        <v>533</v>
      </c>
      <c r="B30" s="4">
        <v>15005502</v>
      </c>
      <c r="C30" s="1" t="s">
        <v>597</v>
      </c>
      <c r="D30" s="1" t="s">
        <v>506</v>
      </c>
      <c r="E30" s="338">
        <v>32721</v>
      </c>
      <c r="F30" s="7">
        <v>137</v>
      </c>
      <c r="G30" s="1" t="s">
        <v>760</v>
      </c>
      <c r="H30" s="7">
        <v>155</v>
      </c>
      <c r="I30" s="7">
        <v>7</v>
      </c>
      <c r="J30" s="1" t="s">
        <v>751</v>
      </c>
      <c r="K30" s="1" t="s">
        <v>413</v>
      </c>
      <c r="L30" s="1" t="s">
        <v>745</v>
      </c>
      <c r="M30" s="333" t="s">
        <v>744</v>
      </c>
      <c r="N30" s="332">
        <v>40509</v>
      </c>
      <c r="O30" s="181">
        <v>41097.25</v>
      </c>
      <c r="P30" s="184">
        <v>36382.21</v>
      </c>
      <c r="Q30" s="229">
        <v>34378.42</v>
      </c>
      <c r="R30" s="192">
        <v>48258.75</v>
      </c>
      <c r="S30" s="238">
        <v>30395.68</v>
      </c>
      <c r="T30" s="238">
        <v>27016.15</v>
      </c>
      <c r="U30" s="347">
        <v>25692.95</v>
      </c>
      <c r="V30" s="212">
        <v>26442.91</v>
      </c>
      <c r="W30" s="350">
        <v>34582</v>
      </c>
      <c r="X30" s="220">
        <v>43321.4</v>
      </c>
      <c r="Y30" s="304">
        <v>40348.74</v>
      </c>
      <c r="Z30" s="172">
        <v>37926.559999999998</v>
      </c>
      <c r="AA30" s="8">
        <f t="shared" si="0"/>
        <v>425843.02</v>
      </c>
      <c r="AB30" s="1">
        <f t="shared" si="1"/>
        <v>12</v>
      </c>
      <c r="AC30" s="31">
        <f t="shared" si="2"/>
        <v>35486.918333333335</v>
      </c>
      <c r="AE30" s="321">
        <f t="shared" si="5"/>
        <v>0</v>
      </c>
      <c r="AF30" s="321">
        <f t="shared" si="5"/>
        <v>0</v>
      </c>
      <c r="AG30" s="321">
        <f t="shared" si="5"/>
        <v>0</v>
      </c>
      <c r="AH30" s="321">
        <f t="shared" si="5"/>
        <v>0</v>
      </c>
      <c r="AI30" s="321">
        <f t="shared" si="5"/>
        <v>0</v>
      </c>
      <c r="AJ30" s="321">
        <f t="shared" si="5"/>
        <v>0</v>
      </c>
      <c r="AK30" s="321">
        <f t="shared" si="5"/>
        <v>217528.46</v>
      </c>
      <c r="AL30" s="321">
        <f t="shared" si="5"/>
        <v>0</v>
      </c>
      <c r="AM30" s="321">
        <f t="shared" si="5"/>
        <v>0</v>
      </c>
      <c r="AN30" s="321">
        <f t="shared" si="5"/>
        <v>0</v>
      </c>
      <c r="AO30" s="321">
        <f t="shared" si="5"/>
        <v>0</v>
      </c>
      <c r="AP30" s="70">
        <f t="shared" si="6"/>
        <v>217528.46</v>
      </c>
      <c r="AQ30" s="321">
        <f t="shared" si="7"/>
        <v>217528.46</v>
      </c>
      <c r="AR30" s="331">
        <f t="shared" si="8"/>
        <v>0</v>
      </c>
    </row>
    <row r="31" spans="1:44" ht="10.5">
      <c r="A31" s="1" t="s">
        <v>705</v>
      </c>
      <c r="B31" s="4">
        <v>15060803</v>
      </c>
      <c r="C31" s="1" t="s">
        <v>848</v>
      </c>
      <c r="D31" s="1" t="s">
        <v>848</v>
      </c>
      <c r="H31" s="1">
        <v>1</v>
      </c>
      <c r="O31" s="181"/>
      <c r="P31" s="184"/>
      <c r="Q31" s="229"/>
      <c r="R31" s="192"/>
      <c r="S31" s="195"/>
      <c r="T31" s="240"/>
      <c r="U31" s="307"/>
      <c r="V31" s="211"/>
      <c r="W31" s="351">
        <v>626.30999999999995</v>
      </c>
      <c r="X31" s="136"/>
      <c r="Y31" s="136"/>
      <c r="Z31" s="136"/>
      <c r="AA31" s="8">
        <f t="shared" si="0"/>
        <v>626.30999999999995</v>
      </c>
      <c r="AB31" s="1">
        <f t="shared" si="1"/>
        <v>1</v>
      </c>
      <c r="AC31" s="31">
        <f t="shared" si="2"/>
        <v>626.30999999999995</v>
      </c>
      <c r="AE31" s="321">
        <f t="shared" si="5"/>
        <v>0</v>
      </c>
      <c r="AF31" s="321">
        <f t="shared" si="5"/>
        <v>0</v>
      </c>
      <c r="AG31" s="321">
        <f t="shared" si="5"/>
        <v>0</v>
      </c>
      <c r="AH31" s="321">
        <f t="shared" si="5"/>
        <v>0</v>
      </c>
      <c r="AI31" s="321">
        <f t="shared" si="5"/>
        <v>0</v>
      </c>
      <c r="AJ31" s="321">
        <f t="shared" si="5"/>
        <v>0</v>
      </c>
      <c r="AK31" s="321">
        <f t="shared" si="5"/>
        <v>0</v>
      </c>
      <c r="AL31" s="321">
        <f t="shared" si="5"/>
        <v>0</v>
      </c>
      <c r="AM31" s="321">
        <f t="shared" si="5"/>
        <v>0</v>
      </c>
      <c r="AN31" s="321">
        <f t="shared" si="5"/>
        <v>0</v>
      </c>
      <c r="AO31" s="321">
        <f t="shared" si="5"/>
        <v>0</v>
      </c>
      <c r="AP31" s="70">
        <f t="shared" si="6"/>
        <v>0</v>
      </c>
      <c r="AQ31" s="321">
        <f t="shared" si="7"/>
        <v>0</v>
      </c>
      <c r="AR31" s="331">
        <f t="shared" si="8"/>
        <v>0</v>
      </c>
    </row>
    <row r="32" spans="1:44" ht="10.5">
      <c r="A32" s="1" t="s">
        <v>533</v>
      </c>
      <c r="B32" s="4">
        <v>7000800</v>
      </c>
      <c r="C32" s="1" t="s">
        <v>627</v>
      </c>
      <c r="D32" s="1" t="s">
        <v>241</v>
      </c>
      <c r="E32" s="338">
        <v>33695</v>
      </c>
      <c r="F32" s="7">
        <v>100</v>
      </c>
      <c r="G32" s="1" t="s">
        <v>762</v>
      </c>
      <c r="H32" s="7">
        <v>65</v>
      </c>
      <c r="I32" s="7"/>
      <c r="J32" s="1" t="s">
        <v>754</v>
      </c>
      <c r="K32" s="1" t="s">
        <v>761</v>
      </c>
      <c r="L32" s="1" t="s">
        <v>745</v>
      </c>
      <c r="M32" s="333" t="s">
        <v>744</v>
      </c>
      <c r="N32" s="332">
        <v>40509</v>
      </c>
      <c r="O32" s="181">
        <v>6167.5</v>
      </c>
      <c r="P32" s="184">
        <v>6149.78</v>
      </c>
      <c r="Q32" s="229">
        <v>5435.68</v>
      </c>
      <c r="R32" s="192">
        <v>6220.36</v>
      </c>
      <c r="S32" s="195">
        <v>4433.5600000000004</v>
      </c>
      <c r="T32" s="238">
        <v>3648.85</v>
      </c>
      <c r="U32" s="347">
        <v>2924.64</v>
      </c>
      <c r="V32" s="212">
        <v>3090.49</v>
      </c>
      <c r="W32" s="350">
        <v>4687.26</v>
      </c>
      <c r="X32" s="220">
        <v>5353.93</v>
      </c>
      <c r="Y32" s="304">
        <v>4842.72</v>
      </c>
      <c r="Z32" s="172">
        <v>3920.29</v>
      </c>
      <c r="AA32" s="8">
        <f t="shared" si="0"/>
        <v>56875.060000000005</v>
      </c>
      <c r="AB32" s="1">
        <f t="shared" si="1"/>
        <v>12</v>
      </c>
      <c r="AC32" s="31">
        <f t="shared" si="2"/>
        <v>4739.588333333334</v>
      </c>
      <c r="AE32" s="321">
        <f t="shared" si="5"/>
        <v>0</v>
      </c>
      <c r="AF32" s="321">
        <f t="shared" si="5"/>
        <v>0</v>
      </c>
      <c r="AG32" s="321">
        <f t="shared" si="5"/>
        <v>0</v>
      </c>
      <c r="AH32" s="321">
        <f t="shared" si="5"/>
        <v>0</v>
      </c>
      <c r="AI32" s="321">
        <f t="shared" si="5"/>
        <v>0</v>
      </c>
      <c r="AJ32" s="321">
        <f t="shared" si="5"/>
        <v>0</v>
      </c>
      <c r="AK32" s="321">
        <f t="shared" si="5"/>
        <v>32055.73</v>
      </c>
      <c r="AL32" s="321">
        <f t="shared" si="5"/>
        <v>0</v>
      </c>
      <c r="AM32" s="321">
        <f t="shared" si="5"/>
        <v>0</v>
      </c>
      <c r="AN32" s="321">
        <f t="shared" si="5"/>
        <v>0</v>
      </c>
      <c r="AO32" s="321">
        <f t="shared" si="5"/>
        <v>0</v>
      </c>
      <c r="AP32" s="70">
        <f t="shared" si="6"/>
        <v>32055.73</v>
      </c>
      <c r="AQ32" s="321">
        <f t="shared" si="7"/>
        <v>32055.73</v>
      </c>
      <c r="AR32" s="331">
        <f t="shared" si="8"/>
        <v>0</v>
      </c>
    </row>
    <row r="33" spans="1:44" ht="10.5">
      <c r="A33" s="1" t="s">
        <v>705</v>
      </c>
      <c r="B33" s="4">
        <v>15033786</v>
      </c>
      <c r="C33" s="1" t="s">
        <v>563</v>
      </c>
      <c r="D33" s="1" t="s">
        <v>563</v>
      </c>
      <c r="E33" s="7"/>
      <c r="G33" s="1" t="s">
        <v>563</v>
      </c>
      <c r="H33" s="7">
        <v>5</v>
      </c>
      <c r="I33" s="7">
        <v>0</v>
      </c>
      <c r="K33" s="1" t="s">
        <v>446</v>
      </c>
      <c r="L33" s="1" t="s">
        <v>745</v>
      </c>
      <c r="M33" s="333" t="s">
        <v>744</v>
      </c>
      <c r="N33" s="332">
        <v>40510</v>
      </c>
      <c r="O33" s="181">
        <v>1338.77</v>
      </c>
      <c r="P33" s="184">
        <v>1183.6600000000001</v>
      </c>
      <c r="Q33" s="229">
        <v>1385.58</v>
      </c>
      <c r="R33" s="192">
        <v>2596.77</v>
      </c>
      <c r="S33" s="238">
        <v>635.4</v>
      </c>
      <c r="T33" s="32"/>
      <c r="U33" s="32"/>
      <c r="V33" s="32"/>
      <c r="W33" s="350">
        <v>429.26</v>
      </c>
      <c r="X33" s="220">
        <v>2533.08</v>
      </c>
      <c r="Y33" s="304">
        <v>1966.37</v>
      </c>
      <c r="Z33" s="172">
        <v>835.13</v>
      </c>
      <c r="AA33" s="8">
        <f t="shared" si="0"/>
        <v>12904.019999999999</v>
      </c>
      <c r="AB33" s="1">
        <f t="shared" si="1"/>
        <v>9</v>
      </c>
      <c r="AC33" s="31">
        <f t="shared" si="2"/>
        <v>1433.7799999999997</v>
      </c>
      <c r="AE33" s="321">
        <f t="shared" si="5"/>
        <v>0</v>
      </c>
      <c r="AF33" s="321">
        <f t="shared" si="5"/>
        <v>0</v>
      </c>
      <c r="AG33" s="321">
        <f t="shared" si="5"/>
        <v>0</v>
      </c>
      <c r="AH33" s="321">
        <f t="shared" si="5"/>
        <v>0</v>
      </c>
      <c r="AI33" s="321">
        <f t="shared" si="5"/>
        <v>0</v>
      </c>
      <c r="AJ33" s="321">
        <f t="shared" si="5"/>
        <v>0</v>
      </c>
      <c r="AK33" s="321">
        <f t="shared" si="5"/>
        <v>0</v>
      </c>
      <c r="AL33" s="321">
        <f t="shared" si="5"/>
        <v>0</v>
      </c>
      <c r="AM33" s="321">
        <f t="shared" si="5"/>
        <v>0</v>
      </c>
      <c r="AN33" s="321">
        <f t="shared" si="5"/>
        <v>0</v>
      </c>
      <c r="AO33" s="321">
        <f t="shared" si="5"/>
        <v>7140.18</v>
      </c>
      <c r="AP33" s="70">
        <f t="shared" si="6"/>
        <v>7140.18</v>
      </c>
      <c r="AQ33" s="321">
        <f t="shared" si="7"/>
        <v>7140.18</v>
      </c>
      <c r="AR33" s="331">
        <f t="shared" si="8"/>
        <v>0</v>
      </c>
    </row>
    <row r="34" spans="1:44" ht="10.5">
      <c r="A34" s="1" t="s">
        <v>535</v>
      </c>
      <c r="B34" s="42">
        <v>7008100</v>
      </c>
      <c r="C34" s="11" t="s">
        <v>259</v>
      </c>
      <c r="D34" s="11" t="s">
        <v>384</v>
      </c>
      <c r="E34" s="338">
        <v>36312</v>
      </c>
      <c r="F34" s="340">
        <v>140</v>
      </c>
      <c r="G34" s="1" t="s">
        <v>384</v>
      </c>
      <c r="H34" s="7">
        <v>230</v>
      </c>
      <c r="I34" s="7">
        <v>13</v>
      </c>
      <c r="J34" s="1" t="s">
        <v>751</v>
      </c>
      <c r="K34" s="1" t="s">
        <v>415</v>
      </c>
      <c r="L34" s="1" t="s">
        <v>745</v>
      </c>
      <c r="M34" s="333" t="s">
        <v>744</v>
      </c>
      <c r="N34" s="332">
        <v>40511</v>
      </c>
      <c r="O34" s="181">
        <v>62990.04</v>
      </c>
      <c r="P34" s="184">
        <v>59294.23</v>
      </c>
      <c r="Q34" s="229">
        <v>65143.4</v>
      </c>
      <c r="R34" s="192">
        <v>80633.850000000006</v>
      </c>
      <c r="S34" s="238">
        <v>56605.38</v>
      </c>
      <c r="T34" s="238">
        <v>34257.300000000003</v>
      </c>
      <c r="U34" s="347">
        <v>40758.44</v>
      </c>
      <c r="V34" s="212">
        <v>42086.96</v>
      </c>
      <c r="W34" s="350">
        <v>60138.9</v>
      </c>
      <c r="X34" s="220">
        <v>74547.839999999997</v>
      </c>
      <c r="Y34" s="304">
        <v>68904.86</v>
      </c>
      <c r="Z34" s="172">
        <v>60028.81</v>
      </c>
      <c r="AA34" s="8">
        <f t="shared" si="0"/>
        <v>705390.01</v>
      </c>
      <c r="AB34" s="1">
        <f t="shared" si="1"/>
        <v>12</v>
      </c>
      <c r="AC34" s="31">
        <f t="shared" si="2"/>
        <v>58782.500833333332</v>
      </c>
      <c r="AE34" s="321">
        <f t="shared" si="5"/>
        <v>0</v>
      </c>
      <c r="AF34" s="321">
        <f t="shared" si="5"/>
        <v>0</v>
      </c>
      <c r="AG34" s="321">
        <f t="shared" si="5"/>
        <v>0</v>
      </c>
      <c r="AH34" s="321">
        <f t="shared" si="5"/>
        <v>0</v>
      </c>
      <c r="AI34" s="321">
        <f t="shared" si="5"/>
        <v>0</v>
      </c>
      <c r="AJ34" s="321">
        <f t="shared" si="5"/>
        <v>358924.2</v>
      </c>
      <c r="AK34" s="321">
        <f t="shared" si="5"/>
        <v>0</v>
      </c>
      <c r="AL34" s="321">
        <f t="shared" si="5"/>
        <v>0</v>
      </c>
      <c r="AM34" s="321">
        <f t="shared" si="5"/>
        <v>0</v>
      </c>
      <c r="AN34" s="321">
        <f t="shared" si="5"/>
        <v>0</v>
      </c>
      <c r="AO34" s="321">
        <f t="shared" si="5"/>
        <v>0</v>
      </c>
      <c r="AP34" s="70">
        <f t="shared" si="6"/>
        <v>358924.2</v>
      </c>
      <c r="AQ34" s="321">
        <f t="shared" si="7"/>
        <v>358924.2</v>
      </c>
      <c r="AR34" s="331">
        <f t="shared" si="8"/>
        <v>0</v>
      </c>
    </row>
    <row r="35" spans="1:44" ht="10.5">
      <c r="A35" s="1" t="s">
        <v>705</v>
      </c>
      <c r="B35" s="4">
        <v>15021911</v>
      </c>
      <c r="C35" s="1" t="s">
        <v>849</v>
      </c>
      <c r="D35" s="1" t="s">
        <v>855</v>
      </c>
      <c r="F35" s="32"/>
      <c r="G35" s="32"/>
      <c r="H35" s="32">
        <v>1</v>
      </c>
      <c r="I35" s="32"/>
      <c r="J35" s="32"/>
      <c r="K35" s="32"/>
      <c r="M35" s="333"/>
      <c r="N35" s="349"/>
      <c r="O35" s="181"/>
      <c r="P35" s="184"/>
      <c r="Q35" s="229"/>
      <c r="R35" s="192"/>
      <c r="S35" s="195"/>
      <c r="T35" s="238"/>
      <c r="U35" s="352">
        <v>53.64</v>
      </c>
      <c r="V35" s="212"/>
      <c r="W35" s="352">
        <v>121.87</v>
      </c>
      <c r="X35" s="352">
        <v>394.91</v>
      </c>
      <c r="Y35" s="353">
        <v>779.75</v>
      </c>
      <c r="Z35" s="364">
        <v>130.85</v>
      </c>
      <c r="AA35" s="8">
        <f t="shared" ref="AA35:AA66" si="9">+SUM(O35:Z35)</f>
        <v>1481.02</v>
      </c>
      <c r="AB35" s="1">
        <f t="shared" ref="AB35:AB66" si="10">COUNT(O35:Z35)</f>
        <v>5</v>
      </c>
      <c r="AC35" s="31">
        <f t="shared" ref="AC35:AC66" si="11">+IF(AA35=0,0,AA35/AB35)</f>
        <v>296.20400000000001</v>
      </c>
      <c r="AE35" s="321">
        <f t="shared" si="5"/>
        <v>0</v>
      </c>
      <c r="AF35" s="321">
        <f t="shared" si="5"/>
        <v>0</v>
      </c>
      <c r="AG35" s="321">
        <f t="shared" si="5"/>
        <v>0</v>
      </c>
      <c r="AH35" s="321">
        <f t="shared" si="5"/>
        <v>0</v>
      </c>
      <c r="AI35" s="321">
        <f t="shared" si="5"/>
        <v>0</v>
      </c>
      <c r="AJ35" s="321">
        <f t="shared" si="5"/>
        <v>0</v>
      </c>
      <c r="AK35" s="321">
        <f t="shared" si="5"/>
        <v>0</v>
      </c>
      <c r="AL35" s="321">
        <f t="shared" si="5"/>
        <v>0</v>
      </c>
      <c r="AM35" s="321">
        <f t="shared" si="5"/>
        <v>0</v>
      </c>
      <c r="AN35" s="321">
        <f t="shared" si="5"/>
        <v>0</v>
      </c>
      <c r="AO35" s="321">
        <f t="shared" si="5"/>
        <v>0</v>
      </c>
      <c r="AP35" s="70">
        <f t="shared" si="6"/>
        <v>0</v>
      </c>
      <c r="AQ35" s="321">
        <f t="shared" si="7"/>
        <v>0</v>
      </c>
      <c r="AR35" s="331">
        <f t="shared" si="8"/>
        <v>0</v>
      </c>
    </row>
    <row r="36" spans="1:44" ht="10.5">
      <c r="A36" s="1" t="s">
        <v>658</v>
      </c>
      <c r="B36" s="4">
        <v>7007200</v>
      </c>
      <c r="C36" s="1" t="s">
        <v>242</v>
      </c>
      <c r="D36" s="1" t="s">
        <v>242</v>
      </c>
      <c r="E36" s="338">
        <v>35674</v>
      </c>
      <c r="F36" s="7">
        <v>102</v>
      </c>
      <c r="G36" s="1" t="s">
        <v>242</v>
      </c>
      <c r="H36" s="7">
        <v>126</v>
      </c>
      <c r="I36" s="7">
        <v>0</v>
      </c>
      <c r="J36" s="1" t="s">
        <v>763</v>
      </c>
      <c r="K36" s="1" t="s">
        <v>417</v>
      </c>
      <c r="L36" s="1" t="s">
        <v>745</v>
      </c>
      <c r="M36" s="333" t="s">
        <v>744</v>
      </c>
      <c r="N36" s="332">
        <v>40503</v>
      </c>
      <c r="O36" s="181">
        <v>14073.91</v>
      </c>
      <c r="P36" s="184">
        <v>10610.74</v>
      </c>
      <c r="Q36" s="229">
        <v>13952.41</v>
      </c>
      <c r="R36" s="192">
        <v>14068.57</v>
      </c>
      <c r="S36" s="195">
        <v>11397.12</v>
      </c>
      <c r="T36" s="238">
        <v>8862.7099999999991</v>
      </c>
      <c r="U36" s="347">
        <v>9061.0499999999993</v>
      </c>
      <c r="V36" s="212">
        <v>9313.35</v>
      </c>
      <c r="W36" s="350">
        <v>11436.73</v>
      </c>
      <c r="X36" s="220">
        <v>13137.87</v>
      </c>
      <c r="Y36" s="304">
        <v>13257.14</v>
      </c>
      <c r="Z36" s="172">
        <v>12451.85</v>
      </c>
      <c r="AA36" s="8">
        <f t="shared" si="9"/>
        <v>141623.44999999998</v>
      </c>
      <c r="AB36" s="1">
        <f t="shared" si="10"/>
        <v>12</v>
      </c>
      <c r="AC36" s="31">
        <f t="shared" si="11"/>
        <v>11801.954166666665</v>
      </c>
      <c r="AE36" s="321">
        <f t="shared" ref="AE36:AO59" si="12">+IF($A36=AE$1,SUM($O36:$T36),0)</f>
        <v>0</v>
      </c>
      <c r="AF36" s="321">
        <f t="shared" si="12"/>
        <v>0</v>
      </c>
      <c r="AG36" s="321">
        <f t="shared" si="12"/>
        <v>0</v>
      </c>
      <c r="AH36" s="321">
        <f t="shared" si="12"/>
        <v>0</v>
      </c>
      <c r="AI36" s="321">
        <f t="shared" si="12"/>
        <v>0</v>
      </c>
      <c r="AJ36" s="321">
        <f t="shared" si="12"/>
        <v>0</v>
      </c>
      <c r="AK36" s="321">
        <f t="shared" si="12"/>
        <v>0</v>
      </c>
      <c r="AL36" s="321">
        <f t="shared" si="12"/>
        <v>0</v>
      </c>
      <c r="AM36" s="321">
        <f t="shared" si="12"/>
        <v>72965.459999999992</v>
      </c>
      <c r="AN36" s="321">
        <f t="shared" si="12"/>
        <v>0</v>
      </c>
      <c r="AO36" s="321">
        <f t="shared" si="12"/>
        <v>0</v>
      </c>
      <c r="AP36" s="70">
        <f t="shared" si="6"/>
        <v>72965.459999999992</v>
      </c>
      <c r="AQ36" s="321">
        <f t="shared" si="7"/>
        <v>72965.459999999992</v>
      </c>
      <c r="AR36" s="331"/>
    </row>
    <row r="37" spans="1:44" ht="10.5">
      <c r="A37" s="1" t="s">
        <v>535</v>
      </c>
      <c r="B37" s="4">
        <v>15006827</v>
      </c>
      <c r="C37" s="1" t="s">
        <v>598</v>
      </c>
      <c r="D37" s="1" t="s">
        <v>344</v>
      </c>
      <c r="E37" s="7">
        <v>2009</v>
      </c>
      <c r="F37" s="7">
        <v>4124</v>
      </c>
      <c r="G37" s="1" t="s">
        <v>764</v>
      </c>
      <c r="H37" s="7">
        <v>114</v>
      </c>
      <c r="I37" s="7">
        <v>2</v>
      </c>
      <c r="J37" s="1" t="s">
        <v>765</v>
      </c>
      <c r="K37" s="1" t="s">
        <v>418</v>
      </c>
      <c r="L37" s="1" t="s">
        <v>745</v>
      </c>
      <c r="M37" s="333" t="s">
        <v>744</v>
      </c>
      <c r="N37" s="332">
        <v>40511</v>
      </c>
      <c r="O37" s="181">
        <v>29274.17</v>
      </c>
      <c r="P37" s="184">
        <v>26675.040000000001</v>
      </c>
      <c r="Q37" s="229">
        <v>22266.35</v>
      </c>
      <c r="R37" s="192">
        <v>30565.83</v>
      </c>
      <c r="S37" s="195">
        <v>18518.95</v>
      </c>
      <c r="T37" s="238">
        <v>10084.57</v>
      </c>
      <c r="U37" s="347">
        <v>11255.96</v>
      </c>
      <c r="V37" s="212">
        <v>10904.14</v>
      </c>
      <c r="W37" s="350">
        <v>19538.61</v>
      </c>
      <c r="X37" s="220">
        <v>26942.54</v>
      </c>
      <c r="Y37" s="304">
        <v>28281.97</v>
      </c>
      <c r="Z37" s="172">
        <v>26537.599999999999</v>
      </c>
      <c r="AA37" s="8">
        <f t="shared" si="9"/>
        <v>260845.73</v>
      </c>
      <c r="AB37" s="1">
        <f t="shared" si="10"/>
        <v>12</v>
      </c>
      <c r="AC37" s="31">
        <f t="shared" si="11"/>
        <v>21737.144166666669</v>
      </c>
      <c r="AE37" s="321">
        <f t="shared" si="12"/>
        <v>0</v>
      </c>
      <c r="AF37" s="321">
        <f t="shared" si="12"/>
        <v>0</v>
      </c>
      <c r="AG37" s="321">
        <f t="shared" si="12"/>
        <v>0</v>
      </c>
      <c r="AH37" s="321">
        <f t="shared" si="12"/>
        <v>0</v>
      </c>
      <c r="AI37" s="321">
        <f t="shared" si="12"/>
        <v>0</v>
      </c>
      <c r="AJ37" s="321">
        <f t="shared" si="12"/>
        <v>137384.91</v>
      </c>
      <c r="AK37" s="321">
        <f t="shared" si="12"/>
        <v>0</v>
      </c>
      <c r="AL37" s="321">
        <f t="shared" si="12"/>
        <v>0</v>
      </c>
      <c r="AM37" s="321">
        <f t="shared" si="12"/>
        <v>0</v>
      </c>
      <c r="AN37" s="321">
        <f t="shared" si="12"/>
        <v>0</v>
      </c>
      <c r="AO37" s="321">
        <f t="shared" si="12"/>
        <v>0</v>
      </c>
      <c r="AP37" s="70">
        <f t="shared" si="6"/>
        <v>137384.91</v>
      </c>
      <c r="AQ37" s="321">
        <f t="shared" si="7"/>
        <v>137384.91</v>
      </c>
      <c r="AR37" s="331">
        <f t="shared" ref="AR37:AR46" si="13">+AP37-AQ37</f>
        <v>0</v>
      </c>
    </row>
    <row r="38" spans="1:44" ht="10.5">
      <c r="A38" s="1" t="s">
        <v>537</v>
      </c>
      <c r="B38" s="4">
        <v>15036833</v>
      </c>
      <c r="C38" s="1" t="s">
        <v>591</v>
      </c>
      <c r="D38" s="1" t="s">
        <v>591</v>
      </c>
      <c r="E38" s="338">
        <v>34516</v>
      </c>
      <c r="F38" s="7">
        <v>103</v>
      </c>
      <c r="G38" s="1" t="s">
        <v>766</v>
      </c>
      <c r="H38" s="7">
        <v>60</v>
      </c>
      <c r="I38" s="7">
        <v>0</v>
      </c>
      <c r="J38" s="1" t="s">
        <v>765</v>
      </c>
      <c r="K38" s="1" t="s">
        <v>459</v>
      </c>
      <c r="L38" s="1" t="s">
        <v>745</v>
      </c>
      <c r="M38" s="333" t="s">
        <v>744</v>
      </c>
      <c r="N38" s="332">
        <v>40513</v>
      </c>
      <c r="O38" s="181">
        <v>14686.08</v>
      </c>
      <c r="P38" s="184">
        <v>13847.79</v>
      </c>
      <c r="Q38" s="229">
        <v>14936.72</v>
      </c>
      <c r="R38" s="192">
        <v>18401.150000000001</v>
      </c>
      <c r="S38" s="238">
        <v>12822.78</v>
      </c>
      <c r="T38" s="238">
        <v>8815.91</v>
      </c>
      <c r="U38" s="347">
        <v>8731.27</v>
      </c>
      <c r="V38" s="212">
        <v>9003.0499999999993</v>
      </c>
      <c r="W38" s="350">
        <v>11809.45</v>
      </c>
      <c r="X38" s="220">
        <v>15267.01</v>
      </c>
      <c r="Y38" s="304">
        <v>14516.44</v>
      </c>
      <c r="Z38" s="172">
        <v>13536.55</v>
      </c>
      <c r="AA38" s="8">
        <f t="shared" si="9"/>
        <v>156374.19999999998</v>
      </c>
      <c r="AB38" s="1">
        <f t="shared" si="10"/>
        <v>12</v>
      </c>
      <c r="AC38" s="31">
        <f t="shared" si="11"/>
        <v>13031.183333333332</v>
      </c>
      <c r="AE38" s="321">
        <f t="shared" si="12"/>
        <v>0</v>
      </c>
      <c r="AF38" s="321">
        <f t="shared" si="12"/>
        <v>83510.430000000008</v>
      </c>
      <c r="AG38" s="321">
        <f t="shared" si="12"/>
        <v>0</v>
      </c>
      <c r="AH38" s="321">
        <f t="shared" si="12"/>
        <v>0</v>
      </c>
      <c r="AI38" s="321">
        <f t="shared" si="12"/>
        <v>0</v>
      </c>
      <c r="AJ38" s="321">
        <f t="shared" si="12"/>
        <v>0</v>
      </c>
      <c r="AK38" s="321">
        <f t="shared" si="12"/>
        <v>0</v>
      </c>
      <c r="AL38" s="321">
        <f t="shared" si="12"/>
        <v>0</v>
      </c>
      <c r="AM38" s="321">
        <f t="shared" si="12"/>
        <v>0</v>
      </c>
      <c r="AN38" s="321">
        <f t="shared" si="12"/>
        <v>0</v>
      </c>
      <c r="AO38" s="321">
        <f t="shared" si="12"/>
        <v>0</v>
      </c>
      <c r="AP38" s="70">
        <f t="shared" si="6"/>
        <v>83510.430000000008</v>
      </c>
      <c r="AQ38" s="321">
        <f t="shared" si="7"/>
        <v>83510.430000000008</v>
      </c>
      <c r="AR38" s="331">
        <f t="shared" si="13"/>
        <v>0</v>
      </c>
    </row>
    <row r="39" spans="1:44" ht="10.5">
      <c r="A39" s="1" t="s">
        <v>535</v>
      </c>
      <c r="B39" s="4">
        <v>15031377</v>
      </c>
      <c r="C39" s="1" t="s">
        <v>625</v>
      </c>
      <c r="D39" s="1" t="s">
        <v>497</v>
      </c>
      <c r="E39" s="7">
        <v>1974</v>
      </c>
      <c r="G39" s="1" t="s">
        <v>798</v>
      </c>
      <c r="H39" s="7">
        <v>174</v>
      </c>
      <c r="I39" s="7">
        <v>7</v>
      </c>
      <c r="J39" s="1" t="s">
        <v>797</v>
      </c>
      <c r="K39" s="1" t="s">
        <v>457</v>
      </c>
      <c r="L39" s="1" t="s">
        <v>745</v>
      </c>
      <c r="M39" s="333" t="s">
        <v>744</v>
      </c>
      <c r="N39" s="332">
        <v>40511</v>
      </c>
      <c r="O39" s="229">
        <v>21454.49</v>
      </c>
      <c r="P39" s="229">
        <v>18591.169999999998</v>
      </c>
      <c r="Q39" s="192">
        <v>21253.46</v>
      </c>
      <c r="R39" s="304">
        <v>33811.75</v>
      </c>
      <c r="S39" s="304">
        <v>20242.21</v>
      </c>
      <c r="T39" s="304">
        <v>8367.36</v>
      </c>
      <c r="U39" s="304">
        <v>7902.7</v>
      </c>
      <c r="V39" s="304">
        <v>10399.02</v>
      </c>
      <c r="W39" s="304">
        <v>21066.53</v>
      </c>
      <c r="X39" s="220">
        <v>23603.54</v>
      </c>
      <c r="Y39" s="304">
        <v>22076.57</v>
      </c>
      <c r="Z39" s="172">
        <v>19075.7</v>
      </c>
      <c r="AA39" s="8">
        <f t="shared" si="9"/>
        <v>227844.5</v>
      </c>
      <c r="AB39" s="1">
        <f t="shared" si="10"/>
        <v>12</v>
      </c>
      <c r="AC39" s="31">
        <f t="shared" si="11"/>
        <v>18987.041666666668</v>
      </c>
      <c r="AE39" s="321">
        <f t="shared" si="12"/>
        <v>0</v>
      </c>
      <c r="AF39" s="321">
        <f t="shared" si="12"/>
        <v>0</v>
      </c>
      <c r="AG39" s="321">
        <f t="shared" si="12"/>
        <v>0</v>
      </c>
      <c r="AH39" s="321">
        <f t="shared" si="12"/>
        <v>0</v>
      </c>
      <c r="AI39" s="321">
        <f t="shared" si="12"/>
        <v>0</v>
      </c>
      <c r="AJ39" s="321">
        <f t="shared" si="12"/>
        <v>123720.43999999999</v>
      </c>
      <c r="AK39" s="321">
        <f t="shared" si="12"/>
        <v>0</v>
      </c>
      <c r="AL39" s="321">
        <f t="shared" si="12"/>
        <v>0</v>
      </c>
      <c r="AM39" s="321">
        <f t="shared" si="12"/>
        <v>0</v>
      </c>
      <c r="AN39" s="321">
        <f t="shared" si="12"/>
        <v>0</v>
      </c>
      <c r="AO39" s="321">
        <f t="shared" si="12"/>
        <v>0</v>
      </c>
      <c r="AP39" s="70">
        <f t="shared" si="6"/>
        <v>123720.43999999999</v>
      </c>
      <c r="AQ39" s="321">
        <f t="shared" si="7"/>
        <v>123720.43999999999</v>
      </c>
      <c r="AR39" s="331">
        <f t="shared" si="13"/>
        <v>0</v>
      </c>
    </row>
    <row r="40" spans="1:44" ht="10.5">
      <c r="A40" s="1" t="s">
        <v>531</v>
      </c>
      <c r="B40" s="4">
        <v>15004535</v>
      </c>
      <c r="C40" s="1" t="s">
        <v>571</v>
      </c>
      <c r="D40" s="1" t="s">
        <v>112</v>
      </c>
      <c r="E40" s="7">
        <v>1987</v>
      </c>
      <c r="F40" s="7">
        <v>124</v>
      </c>
      <c r="G40" s="1" t="s">
        <v>112</v>
      </c>
      <c r="H40" s="7"/>
      <c r="I40" s="7">
        <v>1</v>
      </c>
      <c r="K40" s="1" t="s">
        <v>419</v>
      </c>
      <c r="L40" s="1" t="s">
        <v>745</v>
      </c>
      <c r="M40" s="333" t="s">
        <v>744</v>
      </c>
      <c r="N40" s="332">
        <v>40507</v>
      </c>
      <c r="O40" s="354">
        <v>1862.44</v>
      </c>
      <c r="P40" s="355">
        <v>1618.5</v>
      </c>
      <c r="Q40" s="356">
        <v>1728.84</v>
      </c>
      <c r="R40" s="357">
        <v>2499.94</v>
      </c>
      <c r="S40" s="359">
        <v>536.1</v>
      </c>
      <c r="T40" s="359"/>
      <c r="U40" s="371"/>
      <c r="V40" s="361"/>
      <c r="W40" s="368"/>
      <c r="X40" s="362"/>
      <c r="Y40" s="304"/>
      <c r="Z40" s="172"/>
      <c r="AA40" s="8">
        <f t="shared" si="9"/>
        <v>8245.82</v>
      </c>
      <c r="AB40" s="1">
        <f t="shared" si="10"/>
        <v>5</v>
      </c>
      <c r="AC40" s="31">
        <f t="shared" si="11"/>
        <v>1649.164</v>
      </c>
      <c r="AE40" s="321">
        <f t="shared" si="12"/>
        <v>0</v>
      </c>
      <c r="AF40" s="321">
        <f t="shared" si="12"/>
        <v>0</v>
      </c>
      <c r="AG40" s="321">
        <f t="shared" si="12"/>
        <v>8245.82</v>
      </c>
      <c r="AH40" s="321">
        <f t="shared" si="12"/>
        <v>0</v>
      </c>
      <c r="AI40" s="321">
        <f t="shared" si="12"/>
        <v>0</v>
      </c>
      <c r="AJ40" s="321">
        <f t="shared" si="12"/>
        <v>0</v>
      </c>
      <c r="AK40" s="321">
        <f t="shared" si="12"/>
        <v>0</v>
      </c>
      <c r="AL40" s="321">
        <f t="shared" si="12"/>
        <v>0</v>
      </c>
      <c r="AM40" s="321">
        <f t="shared" si="12"/>
        <v>0</v>
      </c>
      <c r="AN40" s="321">
        <f t="shared" si="12"/>
        <v>0</v>
      </c>
      <c r="AO40" s="321">
        <f t="shared" si="12"/>
        <v>0</v>
      </c>
      <c r="AP40" s="70">
        <f t="shared" si="6"/>
        <v>8245.82</v>
      </c>
      <c r="AQ40" s="321">
        <f t="shared" si="7"/>
        <v>8245.82</v>
      </c>
      <c r="AR40" s="331">
        <f t="shared" si="13"/>
        <v>0</v>
      </c>
    </row>
    <row r="41" spans="1:44" ht="10.5">
      <c r="A41" s="1" t="s">
        <v>705</v>
      </c>
      <c r="B41" s="4">
        <v>15029987</v>
      </c>
      <c r="C41" s="1" t="s">
        <v>690</v>
      </c>
      <c r="D41" s="1" t="s">
        <v>619</v>
      </c>
      <c r="H41" s="1">
        <v>1</v>
      </c>
      <c r="O41" s="354">
        <v>899.18</v>
      </c>
      <c r="P41" s="355">
        <v>390.7</v>
      </c>
      <c r="Q41" s="356">
        <v>306</v>
      </c>
      <c r="R41" s="357">
        <v>841.89</v>
      </c>
      <c r="S41" s="358">
        <v>162.52000000000001</v>
      </c>
      <c r="T41" s="359">
        <v>25.5</v>
      </c>
      <c r="U41" s="360">
        <v>84.8</v>
      </c>
      <c r="V41" s="361">
        <v>49.03</v>
      </c>
      <c r="W41" s="368">
        <v>144.29</v>
      </c>
      <c r="X41" s="362">
        <v>931.6</v>
      </c>
      <c r="Y41" s="316">
        <v>685.93</v>
      </c>
      <c r="Z41" s="173">
        <v>125.74</v>
      </c>
      <c r="AA41" s="8">
        <f t="shared" si="9"/>
        <v>4647.18</v>
      </c>
      <c r="AB41" s="1">
        <f t="shared" si="10"/>
        <v>12</v>
      </c>
      <c r="AC41" s="31">
        <f t="shared" si="11"/>
        <v>387.26500000000004</v>
      </c>
      <c r="AE41" s="321">
        <f t="shared" si="12"/>
        <v>0</v>
      </c>
      <c r="AF41" s="321">
        <f t="shared" si="12"/>
        <v>0</v>
      </c>
      <c r="AG41" s="321">
        <f t="shared" si="12"/>
        <v>0</v>
      </c>
      <c r="AH41" s="321">
        <f t="shared" si="12"/>
        <v>0</v>
      </c>
      <c r="AI41" s="321">
        <f t="shared" si="12"/>
        <v>0</v>
      </c>
      <c r="AJ41" s="321">
        <f t="shared" si="12"/>
        <v>0</v>
      </c>
      <c r="AK41" s="321">
        <f t="shared" si="12"/>
        <v>0</v>
      </c>
      <c r="AL41" s="321">
        <f t="shared" si="12"/>
        <v>0</v>
      </c>
      <c r="AM41" s="321">
        <f t="shared" si="12"/>
        <v>0</v>
      </c>
      <c r="AN41" s="321">
        <f t="shared" si="12"/>
        <v>0</v>
      </c>
      <c r="AO41" s="321">
        <f t="shared" si="12"/>
        <v>2625.79</v>
      </c>
      <c r="AP41" s="70">
        <f t="shared" si="6"/>
        <v>2625.79</v>
      </c>
      <c r="AQ41" s="321">
        <f t="shared" si="7"/>
        <v>2625.79</v>
      </c>
      <c r="AR41" s="331">
        <f t="shared" si="13"/>
        <v>0</v>
      </c>
    </row>
    <row r="42" spans="1:44" ht="10.5">
      <c r="A42" s="1" t="s">
        <v>659</v>
      </c>
      <c r="B42" s="4">
        <v>15056860</v>
      </c>
      <c r="C42" s="1" t="s">
        <v>565</v>
      </c>
      <c r="D42" s="1" t="s">
        <v>565</v>
      </c>
      <c r="E42" s="338">
        <v>36465</v>
      </c>
      <c r="F42" s="7">
        <v>56</v>
      </c>
      <c r="G42" s="1" t="s">
        <v>767</v>
      </c>
      <c r="H42" s="7">
        <v>56</v>
      </c>
      <c r="I42" s="7">
        <v>0</v>
      </c>
      <c r="J42" s="1" t="s">
        <v>748</v>
      </c>
      <c r="K42" s="1" t="s">
        <v>438</v>
      </c>
      <c r="L42" s="1" t="s">
        <v>745</v>
      </c>
      <c r="M42" s="333" t="s">
        <v>744</v>
      </c>
      <c r="N42" s="332">
        <v>40505</v>
      </c>
      <c r="O42" s="181">
        <v>9437.73</v>
      </c>
      <c r="P42" s="184">
        <v>7654.32</v>
      </c>
      <c r="Q42" s="229">
        <v>6686.89</v>
      </c>
      <c r="R42" s="192">
        <v>9435.76</v>
      </c>
      <c r="S42" s="238">
        <v>6485.05</v>
      </c>
      <c r="T42" s="238">
        <v>4625.17</v>
      </c>
      <c r="U42" s="347">
        <v>3842.41</v>
      </c>
      <c r="V42" s="212">
        <v>4299.28</v>
      </c>
      <c r="W42" s="350">
        <v>7241.53</v>
      </c>
      <c r="X42" s="220">
        <v>9395.93</v>
      </c>
      <c r="Y42" s="304">
        <v>8818.0499999999993</v>
      </c>
      <c r="Z42" s="172">
        <v>8001.01</v>
      </c>
      <c r="AA42" s="8">
        <f t="shared" si="9"/>
        <v>85923.13</v>
      </c>
      <c r="AB42" s="1">
        <f t="shared" si="10"/>
        <v>12</v>
      </c>
      <c r="AC42" s="31">
        <f t="shared" si="11"/>
        <v>7160.2608333333337</v>
      </c>
      <c r="AE42" s="321">
        <f t="shared" si="12"/>
        <v>0</v>
      </c>
      <c r="AF42" s="321">
        <f t="shared" si="12"/>
        <v>0</v>
      </c>
      <c r="AG42" s="321">
        <f t="shared" si="12"/>
        <v>0</v>
      </c>
      <c r="AH42" s="321">
        <f t="shared" si="12"/>
        <v>0</v>
      </c>
      <c r="AI42" s="321">
        <f t="shared" si="12"/>
        <v>0</v>
      </c>
      <c r="AJ42" s="321">
        <f t="shared" si="12"/>
        <v>0</v>
      </c>
      <c r="AK42" s="321">
        <f t="shared" si="12"/>
        <v>0</v>
      </c>
      <c r="AL42" s="321">
        <f t="shared" si="12"/>
        <v>44324.92</v>
      </c>
      <c r="AM42" s="321">
        <f t="shared" si="12"/>
        <v>0</v>
      </c>
      <c r="AN42" s="321">
        <f t="shared" si="12"/>
        <v>0</v>
      </c>
      <c r="AO42" s="321">
        <f t="shared" si="12"/>
        <v>0</v>
      </c>
      <c r="AP42" s="70">
        <f t="shared" si="6"/>
        <v>44324.92</v>
      </c>
      <c r="AQ42" s="321">
        <f t="shared" si="7"/>
        <v>44324.92</v>
      </c>
      <c r="AR42" s="331">
        <f t="shared" si="13"/>
        <v>0</v>
      </c>
    </row>
    <row r="43" spans="1:44" ht="10.5">
      <c r="A43" s="1" t="s">
        <v>658</v>
      </c>
      <c r="B43" s="4">
        <v>15034969</v>
      </c>
      <c r="C43" s="1" t="s">
        <v>732</v>
      </c>
      <c r="D43" s="1" t="s">
        <v>667</v>
      </c>
      <c r="E43" s="7">
        <v>2016</v>
      </c>
      <c r="G43" s="1" t="s">
        <v>771</v>
      </c>
      <c r="H43" s="7">
        <v>88</v>
      </c>
      <c r="I43" s="7">
        <v>1</v>
      </c>
      <c r="J43" s="1" t="s">
        <v>751</v>
      </c>
      <c r="K43" s="1" t="s">
        <v>772</v>
      </c>
      <c r="L43" s="1" t="s">
        <v>745</v>
      </c>
      <c r="M43" s="333" t="s">
        <v>744</v>
      </c>
      <c r="N43" s="332">
        <v>40503</v>
      </c>
      <c r="O43" s="181">
        <v>23260</v>
      </c>
      <c r="P43" s="184">
        <v>22782</v>
      </c>
      <c r="Q43" s="229">
        <v>22161.97</v>
      </c>
      <c r="R43" s="192">
        <v>25877</v>
      </c>
      <c r="S43" s="238">
        <v>17863.349999999999</v>
      </c>
      <c r="T43" s="238">
        <v>14115</v>
      </c>
      <c r="U43" s="347">
        <v>14871</v>
      </c>
      <c r="V43" s="212">
        <v>14459</v>
      </c>
      <c r="W43" s="350">
        <v>20949</v>
      </c>
      <c r="X43" s="220">
        <v>26513</v>
      </c>
      <c r="Y43" s="304">
        <v>20575</v>
      </c>
      <c r="Z43" s="172">
        <v>19597.37</v>
      </c>
      <c r="AA43" s="8">
        <f t="shared" si="9"/>
        <v>243023.69</v>
      </c>
      <c r="AB43" s="1">
        <f t="shared" si="10"/>
        <v>12</v>
      </c>
      <c r="AC43" s="31">
        <f t="shared" si="11"/>
        <v>20251.974166666667</v>
      </c>
      <c r="AE43" s="321">
        <f t="shared" si="12"/>
        <v>0</v>
      </c>
      <c r="AF43" s="321">
        <f t="shared" si="12"/>
        <v>0</v>
      </c>
      <c r="AG43" s="321">
        <f t="shared" si="12"/>
        <v>0</v>
      </c>
      <c r="AH43" s="321">
        <f t="shared" si="12"/>
        <v>0</v>
      </c>
      <c r="AI43" s="321">
        <f t="shared" si="12"/>
        <v>0</v>
      </c>
      <c r="AJ43" s="321">
        <f t="shared" si="12"/>
        <v>0</v>
      </c>
      <c r="AK43" s="321">
        <f t="shared" si="12"/>
        <v>0</v>
      </c>
      <c r="AL43" s="321">
        <f t="shared" si="12"/>
        <v>0</v>
      </c>
      <c r="AM43" s="321">
        <f t="shared" si="12"/>
        <v>126059.32</v>
      </c>
      <c r="AN43" s="321">
        <f t="shared" si="12"/>
        <v>0</v>
      </c>
      <c r="AO43" s="321">
        <f t="shared" si="12"/>
        <v>0</v>
      </c>
      <c r="AP43" s="70">
        <f t="shared" si="6"/>
        <v>126059.32</v>
      </c>
      <c r="AQ43" s="321">
        <f t="shared" si="7"/>
        <v>126059.32</v>
      </c>
      <c r="AR43" s="331">
        <f t="shared" si="13"/>
        <v>0</v>
      </c>
    </row>
    <row r="44" spans="1:44" ht="10.5">
      <c r="A44" s="1" t="s">
        <v>659</v>
      </c>
      <c r="B44" s="4">
        <v>15007588</v>
      </c>
      <c r="C44" s="1" t="s">
        <v>620</v>
      </c>
      <c r="D44" s="1" t="s">
        <v>667</v>
      </c>
      <c r="E44" s="338">
        <v>32295</v>
      </c>
      <c r="G44" s="1" t="s">
        <v>816</v>
      </c>
      <c r="H44" s="7">
        <v>125</v>
      </c>
      <c r="I44" s="7">
        <v>1</v>
      </c>
      <c r="J44" s="1" t="s">
        <v>751</v>
      </c>
      <c r="K44" s="1" t="s">
        <v>815</v>
      </c>
      <c r="L44" s="1" t="s">
        <v>745</v>
      </c>
      <c r="M44" s="333" t="s">
        <v>744</v>
      </c>
      <c r="N44" s="332">
        <v>40505</v>
      </c>
      <c r="O44" s="181">
        <v>31026.26</v>
      </c>
      <c r="P44" s="184">
        <v>25774.05</v>
      </c>
      <c r="Q44" s="229">
        <v>29117.93</v>
      </c>
      <c r="R44" s="192">
        <v>34850.65</v>
      </c>
      <c r="S44" s="238">
        <v>17602.48</v>
      </c>
      <c r="T44" s="238">
        <v>15882.81</v>
      </c>
      <c r="U44" s="347">
        <v>13970.95</v>
      </c>
      <c r="V44" s="212">
        <v>17227.95</v>
      </c>
      <c r="W44" s="350">
        <v>26014.82</v>
      </c>
      <c r="X44" s="220">
        <v>31068.18</v>
      </c>
      <c r="Y44" s="304">
        <v>27418.97</v>
      </c>
      <c r="Z44" s="172">
        <v>25568.38</v>
      </c>
      <c r="AA44" s="8">
        <f t="shared" si="9"/>
        <v>295523.43000000005</v>
      </c>
      <c r="AB44" s="1">
        <f t="shared" si="10"/>
        <v>12</v>
      </c>
      <c r="AC44" s="31">
        <f t="shared" si="11"/>
        <v>24626.952500000003</v>
      </c>
      <c r="AE44" s="321">
        <f t="shared" si="12"/>
        <v>0</v>
      </c>
      <c r="AF44" s="321">
        <f t="shared" si="12"/>
        <v>0</v>
      </c>
      <c r="AG44" s="321">
        <f t="shared" si="12"/>
        <v>0</v>
      </c>
      <c r="AH44" s="321">
        <f t="shared" si="12"/>
        <v>0</v>
      </c>
      <c r="AI44" s="321">
        <f t="shared" si="12"/>
        <v>0</v>
      </c>
      <c r="AJ44" s="321">
        <f t="shared" si="12"/>
        <v>0</v>
      </c>
      <c r="AK44" s="321">
        <f t="shared" si="12"/>
        <v>0</v>
      </c>
      <c r="AL44" s="321">
        <f t="shared" si="12"/>
        <v>154254.18</v>
      </c>
      <c r="AM44" s="321">
        <f t="shared" si="12"/>
        <v>0</v>
      </c>
      <c r="AN44" s="321">
        <f t="shared" si="12"/>
        <v>0</v>
      </c>
      <c r="AO44" s="321">
        <f t="shared" si="12"/>
        <v>0</v>
      </c>
      <c r="AP44" s="70">
        <f t="shared" si="6"/>
        <v>154254.18</v>
      </c>
      <c r="AQ44" s="321">
        <f t="shared" si="7"/>
        <v>154254.18</v>
      </c>
      <c r="AR44" s="331">
        <f t="shared" si="13"/>
        <v>0</v>
      </c>
    </row>
    <row r="45" spans="1:44" ht="10.5">
      <c r="A45" s="1" t="s">
        <v>705</v>
      </c>
      <c r="B45" s="4">
        <v>15053151</v>
      </c>
      <c r="C45" s="1" t="s">
        <v>714</v>
      </c>
      <c r="D45" s="1" t="s">
        <v>714</v>
      </c>
      <c r="H45" s="1">
        <v>1</v>
      </c>
      <c r="O45" s="181">
        <v>300.23</v>
      </c>
      <c r="P45" s="184">
        <v>93.29</v>
      </c>
      <c r="Q45" s="229">
        <v>559.86</v>
      </c>
      <c r="R45" s="192">
        <v>360.07</v>
      </c>
      <c r="S45" s="195">
        <v>289.14</v>
      </c>
      <c r="T45" s="32"/>
      <c r="U45" s="350">
        <v>235.62</v>
      </c>
      <c r="V45" s="212">
        <v>69.12</v>
      </c>
      <c r="W45" s="350">
        <v>442.6</v>
      </c>
      <c r="X45" s="220">
        <v>186.55</v>
      </c>
      <c r="Y45" s="304">
        <v>510.17</v>
      </c>
      <c r="Z45" s="172">
        <v>119.04</v>
      </c>
      <c r="AA45" s="8">
        <f t="shared" si="9"/>
        <v>3165.69</v>
      </c>
      <c r="AB45" s="1">
        <f t="shared" si="10"/>
        <v>11</v>
      </c>
      <c r="AC45" s="31">
        <f t="shared" si="11"/>
        <v>287.79000000000002</v>
      </c>
      <c r="AE45" s="321">
        <f t="shared" si="12"/>
        <v>0</v>
      </c>
      <c r="AF45" s="321">
        <f t="shared" si="12"/>
        <v>0</v>
      </c>
      <c r="AG45" s="321">
        <f t="shared" si="12"/>
        <v>0</v>
      </c>
      <c r="AH45" s="321">
        <f t="shared" si="12"/>
        <v>0</v>
      </c>
      <c r="AI45" s="321">
        <f t="shared" si="12"/>
        <v>0</v>
      </c>
      <c r="AJ45" s="321">
        <f t="shared" si="12"/>
        <v>0</v>
      </c>
      <c r="AK45" s="321">
        <f t="shared" si="12"/>
        <v>0</v>
      </c>
      <c r="AL45" s="321">
        <f t="shared" si="12"/>
        <v>0</v>
      </c>
      <c r="AM45" s="321">
        <f t="shared" si="12"/>
        <v>0</v>
      </c>
      <c r="AN45" s="321">
        <f t="shared" si="12"/>
        <v>0</v>
      </c>
      <c r="AO45" s="321">
        <f t="shared" si="12"/>
        <v>1602.5900000000001</v>
      </c>
      <c r="AP45" s="70">
        <f t="shared" si="6"/>
        <v>1602.5900000000001</v>
      </c>
      <c r="AQ45" s="321">
        <f t="shared" si="7"/>
        <v>1602.5900000000001</v>
      </c>
      <c r="AR45" s="331">
        <f t="shared" si="13"/>
        <v>0</v>
      </c>
    </row>
    <row r="46" spans="1:44" ht="10.5">
      <c r="A46" s="1" t="s">
        <v>705</v>
      </c>
      <c r="B46" s="4">
        <v>15058508</v>
      </c>
      <c r="C46" s="1" t="s">
        <v>730</v>
      </c>
      <c r="D46" s="1" t="s">
        <v>730</v>
      </c>
      <c r="H46" s="1">
        <v>1</v>
      </c>
      <c r="O46" s="181">
        <v>218.2</v>
      </c>
      <c r="P46" s="184">
        <v>262.31</v>
      </c>
      <c r="Q46" s="229">
        <v>98.86</v>
      </c>
      <c r="R46" s="192">
        <v>298.32</v>
      </c>
      <c r="S46" s="195">
        <v>161.16999999999999</v>
      </c>
      <c r="T46" s="238">
        <v>353.69</v>
      </c>
      <c r="U46" s="347">
        <v>125.51</v>
      </c>
      <c r="V46" s="32"/>
      <c r="W46" s="32"/>
      <c r="X46" s="220">
        <v>927.74</v>
      </c>
      <c r="Y46" s="304">
        <v>246.42</v>
      </c>
      <c r="Z46" s="32"/>
      <c r="AA46" s="8">
        <f t="shared" si="9"/>
        <v>2692.2200000000003</v>
      </c>
      <c r="AB46" s="1">
        <f t="shared" si="10"/>
        <v>9</v>
      </c>
      <c r="AC46" s="31">
        <f t="shared" si="11"/>
        <v>299.13555555555558</v>
      </c>
      <c r="AE46" s="321">
        <f t="shared" si="12"/>
        <v>0</v>
      </c>
      <c r="AF46" s="321">
        <f t="shared" si="12"/>
        <v>0</v>
      </c>
      <c r="AG46" s="321">
        <f t="shared" si="12"/>
        <v>0</v>
      </c>
      <c r="AH46" s="321">
        <f t="shared" si="12"/>
        <v>0</v>
      </c>
      <c r="AI46" s="321">
        <f t="shared" si="12"/>
        <v>0</v>
      </c>
      <c r="AJ46" s="321">
        <f t="shared" si="12"/>
        <v>0</v>
      </c>
      <c r="AK46" s="321">
        <f t="shared" si="12"/>
        <v>0</v>
      </c>
      <c r="AL46" s="321">
        <f t="shared" si="12"/>
        <v>0</v>
      </c>
      <c r="AM46" s="321">
        <f t="shared" si="12"/>
        <v>0</v>
      </c>
      <c r="AN46" s="321">
        <f t="shared" si="12"/>
        <v>0</v>
      </c>
      <c r="AO46" s="321">
        <f t="shared" si="12"/>
        <v>1392.5500000000002</v>
      </c>
      <c r="AP46" s="70">
        <f t="shared" si="6"/>
        <v>1392.5500000000002</v>
      </c>
      <c r="AQ46" s="321">
        <f t="shared" si="7"/>
        <v>1392.5500000000002</v>
      </c>
      <c r="AR46" s="331">
        <f t="shared" si="13"/>
        <v>0</v>
      </c>
    </row>
    <row r="47" spans="1:44" ht="10.5">
      <c r="A47" s="1" t="s">
        <v>531</v>
      </c>
      <c r="B47" s="4">
        <v>7003500</v>
      </c>
      <c r="C47" s="1" t="s">
        <v>350</v>
      </c>
      <c r="D47" s="1" t="s">
        <v>350</v>
      </c>
      <c r="E47" s="7">
        <v>1982</v>
      </c>
      <c r="F47" s="7">
        <v>136</v>
      </c>
      <c r="G47" s="1" t="s">
        <v>769</v>
      </c>
      <c r="H47" s="7">
        <v>366</v>
      </c>
      <c r="I47" s="7">
        <v>20</v>
      </c>
      <c r="J47" s="1" t="s">
        <v>751</v>
      </c>
      <c r="K47" s="1" t="s">
        <v>770</v>
      </c>
      <c r="L47" s="1" t="s">
        <v>745</v>
      </c>
      <c r="M47" s="333" t="s">
        <v>744</v>
      </c>
      <c r="N47" s="332">
        <v>40507</v>
      </c>
      <c r="O47" s="181">
        <v>92321.65</v>
      </c>
      <c r="P47" s="185">
        <v>82336.61</v>
      </c>
      <c r="Q47" s="233">
        <v>99557.95</v>
      </c>
      <c r="R47" s="193">
        <v>120621.46</v>
      </c>
      <c r="S47" s="240">
        <v>78917.91</v>
      </c>
      <c r="T47" s="240">
        <v>65390.25</v>
      </c>
      <c r="U47" s="348">
        <v>70208.73</v>
      </c>
      <c r="V47" s="211">
        <v>70734.37</v>
      </c>
      <c r="W47" s="351">
        <v>96988.49</v>
      </c>
      <c r="X47" s="222">
        <v>124478.25</v>
      </c>
      <c r="Y47" s="316">
        <v>114576.86</v>
      </c>
      <c r="Z47" s="173">
        <v>94703.35</v>
      </c>
      <c r="AA47" s="8">
        <f t="shared" si="9"/>
        <v>1110835.8800000001</v>
      </c>
      <c r="AB47" s="1">
        <f t="shared" si="10"/>
        <v>12</v>
      </c>
      <c r="AC47" s="31">
        <f t="shared" si="11"/>
        <v>92569.656666666677</v>
      </c>
      <c r="AE47" s="321">
        <f t="shared" si="12"/>
        <v>0</v>
      </c>
      <c r="AF47" s="321">
        <f t="shared" si="12"/>
        <v>0</v>
      </c>
      <c r="AG47" s="321">
        <f t="shared" si="12"/>
        <v>539145.83000000007</v>
      </c>
      <c r="AH47" s="321">
        <f t="shared" si="12"/>
        <v>0</v>
      </c>
      <c r="AI47" s="321">
        <f t="shared" si="12"/>
        <v>0</v>
      </c>
      <c r="AJ47" s="321">
        <f t="shared" si="12"/>
        <v>0</v>
      </c>
      <c r="AK47" s="321">
        <f t="shared" si="12"/>
        <v>0</v>
      </c>
      <c r="AL47" s="321">
        <f t="shared" si="12"/>
        <v>0</v>
      </c>
      <c r="AM47" s="321">
        <f t="shared" si="12"/>
        <v>0</v>
      </c>
      <c r="AN47" s="321">
        <f t="shared" si="12"/>
        <v>0</v>
      </c>
      <c r="AO47" s="321">
        <f t="shared" si="12"/>
        <v>0</v>
      </c>
      <c r="AP47" s="70">
        <f t="shared" si="6"/>
        <v>539145.83000000007</v>
      </c>
      <c r="AQ47" s="321">
        <f t="shared" si="7"/>
        <v>539145.83000000007</v>
      </c>
      <c r="AR47" s="331"/>
    </row>
    <row r="48" spans="1:44" ht="10.5">
      <c r="A48" s="1" t="s">
        <v>530</v>
      </c>
      <c r="B48" s="4">
        <v>15031776</v>
      </c>
      <c r="C48" s="1" t="s">
        <v>517</v>
      </c>
      <c r="D48" s="1" t="s">
        <v>247</v>
      </c>
      <c r="E48" s="338">
        <v>36251</v>
      </c>
      <c r="G48" s="1" t="s">
        <v>799</v>
      </c>
      <c r="H48" s="7">
        <v>100</v>
      </c>
      <c r="I48" s="7">
        <v>1</v>
      </c>
      <c r="J48" s="1" t="s">
        <v>751</v>
      </c>
      <c r="K48" s="1" t="s">
        <v>420</v>
      </c>
      <c r="L48" s="1" t="s">
        <v>745</v>
      </c>
      <c r="M48" s="333" t="s">
        <v>744</v>
      </c>
      <c r="N48" s="332">
        <v>40509</v>
      </c>
      <c r="O48" s="181">
        <v>23629.55</v>
      </c>
      <c r="P48" s="184">
        <v>19659.59</v>
      </c>
      <c r="Q48" s="229">
        <v>20936.53</v>
      </c>
      <c r="R48" s="192">
        <v>31548.639999999999</v>
      </c>
      <c r="S48" s="195">
        <v>19176.509999999998</v>
      </c>
      <c r="T48" s="238">
        <v>13019.08</v>
      </c>
      <c r="U48" s="212">
        <v>12767.44</v>
      </c>
      <c r="V48" s="212">
        <v>15424.94</v>
      </c>
      <c r="W48" s="350">
        <v>22004.47</v>
      </c>
      <c r="X48" s="220">
        <v>28228.6</v>
      </c>
      <c r="Y48" s="304">
        <v>21723.17</v>
      </c>
      <c r="Z48" s="172">
        <v>20897.36</v>
      </c>
      <c r="AA48" s="8">
        <f t="shared" si="9"/>
        <v>249015.88</v>
      </c>
      <c r="AB48" s="1">
        <f t="shared" si="10"/>
        <v>12</v>
      </c>
      <c r="AC48" s="31">
        <f t="shared" si="11"/>
        <v>20751.323333333334</v>
      </c>
      <c r="AE48" s="321">
        <f t="shared" si="12"/>
        <v>0</v>
      </c>
      <c r="AF48" s="321">
        <f t="shared" si="12"/>
        <v>0</v>
      </c>
      <c r="AG48" s="321">
        <f t="shared" si="12"/>
        <v>0</v>
      </c>
      <c r="AH48" s="321">
        <f t="shared" si="12"/>
        <v>127969.9</v>
      </c>
      <c r="AI48" s="321">
        <f t="shared" si="12"/>
        <v>0</v>
      </c>
      <c r="AJ48" s="321">
        <f t="shared" si="12"/>
        <v>0</v>
      </c>
      <c r="AK48" s="321">
        <f t="shared" si="12"/>
        <v>0</v>
      </c>
      <c r="AL48" s="321">
        <f t="shared" si="12"/>
        <v>0</v>
      </c>
      <c r="AM48" s="321">
        <f t="shared" si="12"/>
        <v>0</v>
      </c>
      <c r="AN48" s="321">
        <f t="shared" si="12"/>
        <v>0</v>
      </c>
      <c r="AO48" s="321">
        <f t="shared" si="12"/>
        <v>0</v>
      </c>
      <c r="AP48" s="70">
        <f t="shared" si="6"/>
        <v>127969.9</v>
      </c>
      <c r="AQ48" s="321">
        <f t="shared" si="7"/>
        <v>127969.9</v>
      </c>
      <c r="AR48" s="331">
        <f>+AP48-AQ48</f>
        <v>0</v>
      </c>
    </row>
    <row r="49" spans="1:44" ht="10.5">
      <c r="A49" s="1" t="s">
        <v>658</v>
      </c>
      <c r="B49" s="4">
        <v>15054166</v>
      </c>
      <c r="C49" s="1" t="s">
        <v>671</v>
      </c>
      <c r="D49" s="1" t="s">
        <v>670</v>
      </c>
      <c r="E49" s="338">
        <v>31990</v>
      </c>
      <c r="G49" s="1" t="s">
        <v>768</v>
      </c>
      <c r="H49" s="7">
        <v>174</v>
      </c>
      <c r="I49" s="7">
        <v>4</v>
      </c>
      <c r="J49" s="1" t="s">
        <v>751</v>
      </c>
      <c r="K49" s="1" t="s">
        <v>421</v>
      </c>
      <c r="L49" s="1" t="s">
        <v>745</v>
      </c>
      <c r="M49" s="333" t="s">
        <v>744</v>
      </c>
      <c r="N49" s="332">
        <v>40503</v>
      </c>
      <c r="O49" s="181">
        <v>19686.849999999999</v>
      </c>
      <c r="P49" s="184">
        <v>24452.799999999999</v>
      </c>
      <c r="Q49" s="229">
        <v>30520.68</v>
      </c>
      <c r="R49" s="192">
        <v>50434.87</v>
      </c>
      <c r="S49" s="238">
        <v>28172.02</v>
      </c>
      <c r="T49" s="238">
        <v>24769.99</v>
      </c>
      <c r="U49" s="347">
        <v>29210.47</v>
      </c>
      <c r="V49" s="212">
        <v>30124.18</v>
      </c>
      <c r="W49" s="350">
        <v>49906.8</v>
      </c>
      <c r="X49" s="220">
        <v>57773.19</v>
      </c>
      <c r="Y49" s="304">
        <v>56866.39</v>
      </c>
      <c r="Z49" s="172">
        <v>52014.39</v>
      </c>
      <c r="AA49" s="8">
        <f t="shared" si="9"/>
        <v>453932.63</v>
      </c>
      <c r="AB49" s="1">
        <f t="shared" si="10"/>
        <v>12</v>
      </c>
      <c r="AC49" s="31">
        <f t="shared" si="11"/>
        <v>37827.719166666669</v>
      </c>
      <c r="AE49" s="321">
        <f t="shared" si="12"/>
        <v>0</v>
      </c>
      <c r="AF49" s="321">
        <f t="shared" si="12"/>
        <v>0</v>
      </c>
      <c r="AG49" s="321">
        <f t="shared" si="12"/>
        <v>0</v>
      </c>
      <c r="AH49" s="321">
        <f t="shared" si="12"/>
        <v>0</v>
      </c>
      <c r="AI49" s="321">
        <f t="shared" si="12"/>
        <v>0</v>
      </c>
      <c r="AJ49" s="321">
        <f t="shared" si="12"/>
        <v>0</v>
      </c>
      <c r="AK49" s="321">
        <f t="shared" si="12"/>
        <v>0</v>
      </c>
      <c r="AL49" s="321">
        <f t="shared" si="12"/>
        <v>0</v>
      </c>
      <c r="AM49" s="321">
        <f t="shared" si="12"/>
        <v>178037.20999999996</v>
      </c>
      <c r="AN49" s="321">
        <f t="shared" si="12"/>
        <v>0</v>
      </c>
      <c r="AO49" s="321">
        <f t="shared" si="12"/>
        <v>0</v>
      </c>
      <c r="AP49" s="70">
        <f t="shared" si="6"/>
        <v>178037.20999999996</v>
      </c>
      <c r="AQ49" s="321">
        <f t="shared" si="7"/>
        <v>178037.20999999996</v>
      </c>
      <c r="AR49" s="331"/>
    </row>
    <row r="50" spans="1:44" ht="10.5">
      <c r="A50" s="1" t="s">
        <v>705</v>
      </c>
      <c r="B50" s="4">
        <v>15006999</v>
      </c>
      <c r="C50" s="1" t="s">
        <v>527</v>
      </c>
      <c r="D50" s="1" t="s">
        <v>622</v>
      </c>
      <c r="E50" s="338">
        <v>39630</v>
      </c>
      <c r="G50" s="1" t="s">
        <v>803</v>
      </c>
      <c r="H50" s="7">
        <v>78</v>
      </c>
      <c r="I50" s="7">
        <v>2</v>
      </c>
      <c r="J50" s="1" t="s">
        <v>753</v>
      </c>
      <c r="K50" s="1" t="s">
        <v>399</v>
      </c>
      <c r="L50" s="1" t="s">
        <v>745</v>
      </c>
      <c r="M50" s="333" t="s">
        <v>744</v>
      </c>
      <c r="N50" s="332">
        <v>40511</v>
      </c>
      <c r="O50" s="181">
        <v>20355.63</v>
      </c>
      <c r="P50" s="184">
        <v>19427.66</v>
      </c>
      <c r="Q50" s="229">
        <v>19262.77</v>
      </c>
      <c r="R50" s="192">
        <v>25528.18</v>
      </c>
      <c r="S50" s="195">
        <v>17041.939999999999</v>
      </c>
      <c r="T50" s="238">
        <v>12405.75</v>
      </c>
      <c r="U50" s="347">
        <v>14801.39</v>
      </c>
      <c r="V50" s="212">
        <v>13433.91</v>
      </c>
      <c r="W50" s="350">
        <v>18038.04</v>
      </c>
      <c r="X50" s="220">
        <v>22761.03</v>
      </c>
      <c r="Y50" s="318">
        <v>21923.07</v>
      </c>
      <c r="Z50" s="172">
        <v>19890.990000000002</v>
      </c>
      <c r="AA50" s="8">
        <f t="shared" si="9"/>
        <v>224870.36</v>
      </c>
      <c r="AB50" s="1">
        <f t="shared" si="10"/>
        <v>12</v>
      </c>
      <c r="AC50" s="31">
        <f t="shared" si="11"/>
        <v>18739.196666666667</v>
      </c>
      <c r="AE50" s="321">
        <f t="shared" si="12"/>
        <v>0</v>
      </c>
      <c r="AF50" s="321">
        <f t="shared" si="12"/>
        <v>0</v>
      </c>
      <c r="AG50" s="321">
        <f t="shared" si="12"/>
        <v>0</v>
      </c>
      <c r="AH50" s="321">
        <f t="shared" si="12"/>
        <v>0</v>
      </c>
      <c r="AI50" s="321">
        <f t="shared" si="12"/>
        <v>0</v>
      </c>
      <c r="AJ50" s="321">
        <f t="shared" si="12"/>
        <v>0</v>
      </c>
      <c r="AK50" s="321">
        <f t="shared" si="12"/>
        <v>0</v>
      </c>
      <c r="AL50" s="321">
        <f t="shared" si="12"/>
        <v>0</v>
      </c>
      <c r="AM50" s="321">
        <f t="shared" si="12"/>
        <v>0</v>
      </c>
      <c r="AN50" s="321">
        <f t="shared" si="12"/>
        <v>0</v>
      </c>
      <c r="AO50" s="321">
        <f t="shared" si="12"/>
        <v>114021.93</v>
      </c>
      <c r="AP50" s="70">
        <f t="shared" si="6"/>
        <v>114021.93</v>
      </c>
      <c r="AQ50" s="321">
        <f t="shared" si="7"/>
        <v>114021.93</v>
      </c>
      <c r="AR50" s="331">
        <f>+AP50-AQ50</f>
        <v>0</v>
      </c>
    </row>
    <row r="51" spans="1:44" ht="10.5">
      <c r="A51" s="1" t="s">
        <v>664</v>
      </c>
      <c r="B51" s="4">
        <v>7009500</v>
      </c>
      <c r="C51" s="1" t="s">
        <v>515</v>
      </c>
      <c r="D51" s="1" t="s">
        <v>515</v>
      </c>
      <c r="E51" s="338">
        <v>38322</v>
      </c>
      <c r="G51" s="1" t="s">
        <v>802</v>
      </c>
      <c r="H51" s="7">
        <v>96</v>
      </c>
      <c r="I51" s="7">
        <v>1</v>
      </c>
      <c r="J51" s="1" t="s">
        <v>753</v>
      </c>
      <c r="K51" s="1" t="s">
        <v>398</v>
      </c>
      <c r="L51" s="1" t="s">
        <v>745</v>
      </c>
      <c r="M51" s="333" t="s">
        <v>744</v>
      </c>
      <c r="N51" s="332">
        <v>40504</v>
      </c>
      <c r="O51" s="181">
        <v>26554.94</v>
      </c>
      <c r="P51" s="184">
        <v>27021.599999999999</v>
      </c>
      <c r="Q51" s="229">
        <v>27053.77</v>
      </c>
      <c r="R51" s="192">
        <v>32447.1</v>
      </c>
      <c r="S51" s="238">
        <v>22613.59</v>
      </c>
      <c r="T51" s="238">
        <v>19078.39</v>
      </c>
      <c r="U51" s="347">
        <v>20595.080000000002</v>
      </c>
      <c r="V51" s="212">
        <v>17978.63</v>
      </c>
      <c r="W51" s="350">
        <v>26218.31</v>
      </c>
      <c r="X51" s="220">
        <v>29035.7</v>
      </c>
      <c r="Y51" s="304">
        <v>27151.7</v>
      </c>
      <c r="Z51" s="172">
        <v>26559.51</v>
      </c>
      <c r="AA51" s="8">
        <f t="shared" si="9"/>
        <v>302308.32000000007</v>
      </c>
      <c r="AB51" s="1">
        <f t="shared" si="10"/>
        <v>12</v>
      </c>
      <c r="AC51" s="31">
        <f t="shared" si="11"/>
        <v>25192.360000000004</v>
      </c>
      <c r="AE51" s="321">
        <f t="shared" si="12"/>
        <v>0</v>
      </c>
      <c r="AF51" s="321">
        <f t="shared" si="12"/>
        <v>0</v>
      </c>
      <c r="AG51" s="321">
        <f t="shared" si="12"/>
        <v>0</v>
      </c>
      <c r="AH51" s="321">
        <f t="shared" si="12"/>
        <v>0</v>
      </c>
      <c r="AI51" s="321">
        <f t="shared" si="12"/>
        <v>0</v>
      </c>
      <c r="AJ51" s="321">
        <f t="shared" si="12"/>
        <v>0</v>
      </c>
      <c r="AK51" s="321">
        <f t="shared" si="12"/>
        <v>0</v>
      </c>
      <c r="AL51" s="321">
        <f t="shared" si="12"/>
        <v>0</v>
      </c>
      <c r="AM51" s="321">
        <f t="shared" si="12"/>
        <v>0</v>
      </c>
      <c r="AN51" s="321">
        <f t="shared" si="12"/>
        <v>154769.39000000001</v>
      </c>
      <c r="AO51" s="321">
        <f t="shared" si="12"/>
        <v>0</v>
      </c>
      <c r="AP51" s="70">
        <f t="shared" si="6"/>
        <v>154769.39000000001</v>
      </c>
      <c r="AQ51" s="321">
        <f t="shared" si="7"/>
        <v>154769.39000000001</v>
      </c>
      <c r="AR51" s="331">
        <f>+AP51-AQ51</f>
        <v>0</v>
      </c>
    </row>
    <row r="52" spans="1:44" ht="10.5">
      <c r="A52" s="1" t="s">
        <v>659</v>
      </c>
      <c r="B52" s="42">
        <v>15037963</v>
      </c>
      <c r="C52" s="11" t="s">
        <v>606</v>
      </c>
      <c r="D52" s="11" t="s">
        <v>605</v>
      </c>
      <c r="E52" s="7">
        <v>2015</v>
      </c>
      <c r="F52" s="340"/>
      <c r="G52" s="1" t="s">
        <v>801</v>
      </c>
      <c r="H52" s="7">
        <v>82</v>
      </c>
      <c r="I52" s="7">
        <v>1</v>
      </c>
      <c r="J52" s="1" t="s">
        <v>753</v>
      </c>
      <c r="K52" s="1" t="s">
        <v>800</v>
      </c>
      <c r="L52" s="1" t="s">
        <v>745</v>
      </c>
      <c r="M52" s="333" t="s">
        <v>744</v>
      </c>
      <c r="N52" s="332">
        <v>40505</v>
      </c>
      <c r="O52" s="181">
        <v>21570.44</v>
      </c>
      <c r="P52" s="184">
        <v>18967.560000000001</v>
      </c>
      <c r="Q52" s="229">
        <v>17677.02</v>
      </c>
      <c r="R52" s="192">
        <v>23715.18</v>
      </c>
      <c r="S52" s="195">
        <v>14030.36</v>
      </c>
      <c r="T52" s="238">
        <v>11185.51</v>
      </c>
      <c r="U52" s="347">
        <v>12016.08</v>
      </c>
      <c r="V52" s="212">
        <v>13530.51</v>
      </c>
      <c r="W52" s="220">
        <v>18257.12</v>
      </c>
      <c r="X52" s="220">
        <v>22492.62</v>
      </c>
      <c r="Y52" s="304">
        <v>18441.439999999999</v>
      </c>
      <c r="Z52" s="172">
        <v>16924.09</v>
      </c>
      <c r="AA52" s="8">
        <f t="shared" si="9"/>
        <v>208807.93</v>
      </c>
      <c r="AB52" s="1">
        <f t="shared" si="10"/>
        <v>12</v>
      </c>
      <c r="AC52" s="31">
        <f t="shared" si="11"/>
        <v>17400.660833333332</v>
      </c>
      <c r="AE52" s="321">
        <f t="shared" si="12"/>
        <v>0</v>
      </c>
      <c r="AF52" s="321">
        <f t="shared" si="12"/>
        <v>0</v>
      </c>
      <c r="AG52" s="321">
        <f t="shared" si="12"/>
        <v>0</v>
      </c>
      <c r="AH52" s="321">
        <f t="shared" si="12"/>
        <v>0</v>
      </c>
      <c r="AI52" s="321">
        <f t="shared" si="12"/>
        <v>0</v>
      </c>
      <c r="AJ52" s="321">
        <f t="shared" si="12"/>
        <v>0</v>
      </c>
      <c r="AK52" s="321">
        <f t="shared" si="12"/>
        <v>0</v>
      </c>
      <c r="AL52" s="321">
        <f t="shared" si="12"/>
        <v>107146.07</v>
      </c>
      <c r="AM52" s="321">
        <f t="shared" si="12"/>
        <v>0</v>
      </c>
      <c r="AN52" s="321">
        <f t="shared" si="12"/>
        <v>0</v>
      </c>
      <c r="AO52" s="321">
        <f t="shared" si="12"/>
        <v>0</v>
      </c>
      <c r="AP52" s="70">
        <f t="shared" si="6"/>
        <v>107146.07</v>
      </c>
      <c r="AQ52" s="321">
        <f t="shared" si="7"/>
        <v>107146.07</v>
      </c>
      <c r="AR52" s="331">
        <f>+AP52-AQ52</f>
        <v>0</v>
      </c>
    </row>
    <row r="53" spans="1:44" ht="10.5">
      <c r="A53" s="1" t="s">
        <v>530</v>
      </c>
      <c r="B53" s="42">
        <v>15061297</v>
      </c>
      <c r="C53" s="11"/>
      <c r="D53" s="11" t="s">
        <v>854</v>
      </c>
      <c r="E53" s="7"/>
      <c r="F53" s="340"/>
      <c r="H53" s="7">
        <v>123</v>
      </c>
      <c r="I53" s="7"/>
      <c r="M53" s="333"/>
      <c r="N53" s="332"/>
      <c r="O53" s="181"/>
      <c r="P53" s="184"/>
      <c r="Q53" s="229"/>
      <c r="R53" s="192"/>
      <c r="S53" s="195"/>
      <c r="T53" s="238"/>
      <c r="U53" s="347"/>
      <c r="V53" s="212"/>
      <c r="W53" s="367"/>
      <c r="X53" s="220"/>
      <c r="Y53" s="304">
        <v>9412.9699999999993</v>
      </c>
      <c r="Z53" s="172">
        <v>12896.38</v>
      </c>
      <c r="AA53" s="8">
        <f t="shared" si="9"/>
        <v>22309.35</v>
      </c>
      <c r="AB53" s="1">
        <f t="shared" si="10"/>
        <v>2</v>
      </c>
      <c r="AC53" s="31">
        <f t="shared" si="11"/>
        <v>11154.674999999999</v>
      </c>
      <c r="AE53" s="321">
        <f t="shared" si="12"/>
        <v>0</v>
      </c>
      <c r="AF53" s="321">
        <f t="shared" si="12"/>
        <v>0</v>
      </c>
      <c r="AG53" s="321">
        <f t="shared" si="12"/>
        <v>0</v>
      </c>
      <c r="AH53" s="321">
        <f t="shared" si="12"/>
        <v>0</v>
      </c>
      <c r="AI53" s="321">
        <f t="shared" si="12"/>
        <v>0</v>
      </c>
      <c r="AJ53" s="321">
        <f t="shared" si="12"/>
        <v>0</v>
      </c>
      <c r="AK53" s="321">
        <f t="shared" si="12"/>
        <v>0</v>
      </c>
      <c r="AL53" s="321">
        <f t="shared" si="12"/>
        <v>0</v>
      </c>
      <c r="AM53" s="321">
        <f t="shared" si="12"/>
        <v>0</v>
      </c>
      <c r="AN53" s="321">
        <f t="shared" si="12"/>
        <v>0</v>
      </c>
      <c r="AO53" s="321">
        <f t="shared" si="12"/>
        <v>0</v>
      </c>
      <c r="AP53" s="70">
        <f t="shared" si="6"/>
        <v>0</v>
      </c>
      <c r="AQ53" s="321">
        <f t="shared" si="7"/>
        <v>0</v>
      </c>
      <c r="AR53" s="331"/>
    </row>
    <row r="54" spans="1:44" ht="10.5">
      <c r="A54" s="1" t="s">
        <v>658</v>
      </c>
      <c r="B54" s="42">
        <v>15037924</v>
      </c>
      <c r="C54" s="11" t="s">
        <v>644</v>
      </c>
      <c r="D54" s="11" t="s">
        <v>601</v>
      </c>
      <c r="E54" s="7">
        <v>2015</v>
      </c>
      <c r="F54" s="340"/>
      <c r="G54" s="1" t="s">
        <v>805</v>
      </c>
      <c r="H54" s="7"/>
      <c r="I54" s="7"/>
      <c r="J54" s="1" t="s">
        <v>751</v>
      </c>
      <c r="K54" s="1" t="s">
        <v>804</v>
      </c>
      <c r="L54" s="1" t="s">
        <v>745</v>
      </c>
      <c r="M54" s="333" t="s">
        <v>744</v>
      </c>
      <c r="N54" s="332">
        <v>40503</v>
      </c>
      <c r="O54" s="181"/>
      <c r="P54" s="184"/>
      <c r="Q54" s="229"/>
      <c r="R54" s="192"/>
      <c r="S54" s="195"/>
      <c r="T54" s="238"/>
      <c r="U54" s="347"/>
      <c r="V54" s="212"/>
      <c r="W54" s="367"/>
      <c r="X54" s="220"/>
      <c r="Y54" s="304"/>
      <c r="Z54" s="172"/>
      <c r="AA54" s="8">
        <f t="shared" si="9"/>
        <v>0</v>
      </c>
      <c r="AB54" s="1">
        <f t="shared" si="10"/>
        <v>0</v>
      </c>
      <c r="AC54" s="31">
        <f t="shared" si="11"/>
        <v>0</v>
      </c>
      <c r="AE54" s="321">
        <f t="shared" si="12"/>
        <v>0</v>
      </c>
      <c r="AF54" s="321">
        <f t="shared" si="12"/>
        <v>0</v>
      </c>
      <c r="AG54" s="321">
        <f t="shared" si="12"/>
        <v>0</v>
      </c>
      <c r="AH54" s="321">
        <f t="shared" si="12"/>
        <v>0</v>
      </c>
      <c r="AI54" s="321">
        <f t="shared" si="12"/>
        <v>0</v>
      </c>
      <c r="AJ54" s="321">
        <f t="shared" si="12"/>
        <v>0</v>
      </c>
      <c r="AK54" s="321">
        <f t="shared" si="12"/>
        <v>0</v>
      </c>
      <c r="AL54" s="321">
        <f t="shared" si="12"/>
        <v>0</v>
      </c>
      <c r="AM54" s="321">
        <f t="shared" si="12"/>
        <v>0</v>
      </c>
      <c r="AN54" s="321">
        <f t="shared" si="12"/>
        <v>0</v>
      </c>
      <c r="AO54" s="321">
        <f t="shared" si="12"/>
        <v>0</v>
      </c>
      <c r="AP54" s="70">
        <f t="shared" si="6"/>
        <v>0</v>
      </c>
      <c r="AQ54" s="321">
        <f t="shared" si="7"/>
        <v>0</v>
      </c>
      <c r="AR54" s="331">
        <f>+AP54-AQ54</f>
        <v>0</v>
      </c>
    </row>
    <row r="55" spans="1:44" ht="10.5">
      <c r="A55" s="1" t="s">
        <v>658</v>
      </c>
      <c r="B55" s="4">
        <v>15058010</v>
      </c>
      <c r="C55" s="1" t="s">
        <v>715</v>
      </c>
      <c r="D55" s="1" t="s">
        <v>601</v>
      </c>
      <c r="E55" s="7">
        <v>2015</v>
      </c>
      <c r="F55" s="340"/>
      <c r="G55" s="1" t="s">
        <v>805</v>
      </c>
      <c r="H55" s="7">
        <v>103</v>
      </c>
      <c r="I55" s="7"/>
      <c r="J55" s="1" t="s">
        <v>751</v>
      </c>
      <c r="K55" s="1" t="s">
        <v>804</v>
      </c>
      <c r="L55" s="1" t="s">
        <v>745</v>
      </c>
      <c r="M55" s="333" t="s">
        <v>744</v>
      </c>
      <c r="N55" s="332">
        <v>40503</v>
      </c>
      <c r="O55" s="181">
        <v>28789.86</v>
      </c>
      <c r="P55" s="184">
        <v>24479.279999999999</v>
      </c>
      <c r="Q55" s="229">
        <v>25994.37</v>
      </c>
      <c r="R55" s="192">
        <v>32484.67</v>
      </c>
      <c r="S55" s="238">
        <v>22130.14</v>
      </c>
      <c r="T55" s="238">
        <v>17711.68</v>
      </c>
      <c r="U55" s="347">
        <v>17262.37</v>
      </c>
      <c r="V55" s="212">
        <v>17273.419999999998</v>
      </c>
      <c r="W55" s="350">
        <v>25869.7</v>
      </c>
      <c r="X55" s="220">
        <v>31157.15</v>
      </c>
      <c r="Y55" s="304">
        <v>25588.53</v>
      </c>
      <c r="Z55" s="172">
        <v>24280.57</v>
      </c>
      <c r="AA55" s="8">
        <f t="shared" si="9"/>
        <v>293021.74</v>
      </c>
      <c r="AB55" s="1">
        <f t="shared" si="10"/>
        <v>12</v>
      </c>
      <c r="AC55" s="31">
        <f t="shared" si="11"/>
        <v>24418.478333333333</v>
      </c>
      <c r="AE55" s="321">
        <f t="shared" si="12"/>
        <v>0</v>
      </c>
      <c r="AF55" s="321">
        <f t="shared" si="12"/>
        <v>0</v>
      </c>
      <c r="AG55" s="321">
        <f t="shared" si="12"/>
        <v>0</v>
      </c>
      <c r="AH55" s="321">
        <f t="shared" si="12"/>
        <v>0</v>
      </c>
      <c r="AI55" s="321">
        <f t="shared" si="12"/>
        <v>0</v>
      </c>
      <c r="AJ55" s="321">
        <f t="shared" si="12"/>
        <v>0</v>
      </c>
      <c r="AK55" s="321">
        <f t="shared" si="12"/>
        <v>0</v>
      </c>
      <c r="AL55" s="321">
        <f t="shared" si="12"/>
        <v>0</v>
      </c>
      <c r="AM55" s="321">
        <f t="shared" si="12"/>
        <v>151590</v>
      </c>
      <c r="AN55" s="321">
        <f t="shared" si="12"/>
        <v>0</v>
      </c>
      <c r="AO55" s="321">
        <f t="shared" si="12"/>
        <v>0</v>
      </c>
      <c r="AP55" s="70">
        <f t="shared" si="6"/>
        <v>151590</v>
      </c>
      <c r="AQ55" s="321">
        <f t="shared" si="7"/>
        <v>151590</v>
      </c>
      <c r="AR55" s="331">
        <f>+AP55-AQ55</f>
        <v>0</v>
      </c>
    </row>
    <row r="56" spans="1:44" ht="10.5">
      <c r="A56" s="1" t="s">
        <v>705</v>
      </c>
      <c r="B56" s="4">
        <v>15055279</v>
      </c>
      <c r="C56" s="1" t="s">
        <v>708</v>
      </c>
      <c r="D56" s="1" t="s">
        <v>708</v>
      </c>
      <c r="H56" s="1">
        <v>1</v>
      </c>
      <c r="O56" s="181">
        <v>297.5</v>
      </c>
      <c r="P56" s="184">
        <v>340</v>
      </c>
      <c r="Q56" s="229">
        <v>222.02</v>
      </c>
      <c r="R56" s="192">
        <v>465.38</v>
      </c>
      <c r="S56" s="32"/>
      <c r="T56" s="238">
        <v>180.63</v>
      </c>
      <c r="U56" s="32"/>
      <c r="V56" s="32"/>
      <c r="W56" s="32"/>
      <c r="X56" s="32"/>
      <c r="Y56" s="32"/>
      <c r="Z56" s="32"/>
      <c r="AA56" s="8">
        <f t="shared" si="9"/>
        <v>1505.5300000000002</v>
      </c>
      <c r="AB56" s="1">
        <f t="shared" si="10"/>
        <v>5</v>
      </c>
      <c r="AC56" s="31">
        <f t="shared" si="11"/>
        <v>301.10600000000005</v>
      </c>
      <c r="AE56" s="321">
        <f t="shared" si="12"/>
        <v>0</v>
      </c>
      <c r="AF56" s="321">
        <f t="shared" si="12"/>
        <v>0</v>
      </c>
      <c r="AG56" s="321">
        <f t="shared" si="12"/>
        <v>0</v>
      </c>
      <c r="AH56" s="321">
        <f t="shared" si="12"/>
        <v>0</v>
      </c>
      <c r="AI56" s="321">
        <f t="shared" si="12"/>
        <v>0</v>
      </c>
      <c r="AJ56" s="321">
        <f t="shared" si="12"/>
        <v>0</v>
      </c>
      <c r="AK56" s="321">
        <f t="shared" si="12"/>
        <v>0</v>
      </c>
      <c r="AL56" s="321">
        <f t="shared" si="12"/>
        <v>0</v>
      </c>
      <c r="AM56" s="321">
        <f t="shared" si="12"/>
        <v>0</v>
      </c>
      <c r="AN56" s="321">
        <f t="shared" si="12"/>
        <v>0</v>
      </c>
      <c r="AO56" s="321">
        <f t="shared" si="12"/>
        <v>1505.5300000000002</v>
      </c>
      <c r="AP56" s="70">
        <f t="shared" si="6"/>
        <v>1505.5300000000002</v>
      </c>
      <c r="AQ56" s="321">
        <f t="shared" si="7"/>
        <v>1505.5300000000002</v>
      </c>
      <c r="AR56" s="331">
        <f>+AP56-AQ56</f>
        <v>0</v>
      </c>
    </row>
    <row r="57" spans="1:44" ht="10.5">
      <c r="A57" s="1" t="s">
        <v>658</v>
      </c>
      <c r="B57" s="4">
        <v>7009200</v>
      </c>
      <c r="C57" s="1" t="s">
        <v>516</v>
      </c>
      <c r="D57" s="1" t="s">
        <v>516</v>
      </c>
      <c r="E57" s="7"/>
      <c r="F57" s="7">
        <v>569</v>
      </c>
      <c r="G57" s="1" t="s">
        <v>773</v>
      </c>
      <c r="H57" s="7">
        <v>91</v>
      </c>
      <c r="I57" s="7">
        <v>1</v>
      </c>
      <c r="J57" s="1" t="s">
        <v>751</v>
      </c>
      <c r="K57" s="1" t="s">
        <v>774</v>
      </c>
      <c r="L57" s="1" t="s">
        <v>745</v>
      </c>
      <c r="M57" s="333" t="s">
        <v>744</v>
      </c>
      <c r="N57" s="332">
        <v>40503</v>
      </c>
      <c r="O57" s="181">
        <v>23986.28</v>
      </c>
      <c r="P57" s="184">
        <v>22773.33</v>
      </c>
      <c r="Q57" s="229">
        <v>21873.24</v>
      </c>
      <c r="R57" s="291">
        <v>27331.64</v>
      </c>
      <c r="S57" s="238">
        <v>17852.560000000001</v>
      </c>
      <c r="T57" s="238">
        <v>14674.89</v>
      </c>
      <c r="U57" s="347">
        <v>12378.98</v>
      </c>
      <c r="V57" s="212">
        <v>12531.22</v>
      </c>
      <c r="W57" s="350">
        <v>18686.72</v>
      </c>
      <c r="X57" s="220">
        <v>23329.07</v>
      </c>
      <c r="Y57" s="304">
        <v>20736.41</v>
      </c>
      <c r="Z57" s="172">
        <v>21785.48</v>
      </c>
      <c r="AA57" s="8">
        <f t="shared" si="9"/>
        <v>237939.82000000004</v>
      </c>
      <c r="AB57" s="1">
        <f t="shared" si="10"/>
        <v>12</v>
      </c>
      <c r="AC57" s="31">
        <f t="shared" si="11"/>
        <v>19828.318333333336</v>
      </c>
      <c r="AE57" s="321">
        <f t="shared" si="12"/>
        <v>0</v>
      </c>
      <c r="AF57" s="321">
        <f t="shared" si="12"/>
        <v>0</v>
      </c>
      <c r="AG57" s="321">
        <f t="shared" si="12"/>
        <v>0</v>
      </c>
      <c r="AH57" s="321">
        <f t="shared" si="12"/>
        <v>0</v>
      </c>
      <c r="AI57" s="321">
        <f t="shared" si="12"/>
        <v>0</v>
      </c>
      <c r="AJ57" s="321">
        <f t="shared" si="12"/>
        <v>0</v>
      </c>
      <c r="AK57" s="321">
        <f t="shared" si="12"/>
        <v>0</v>
      </c>
      <c r="AL57" s="321">
        <f t="shared" si="12"/>
        <v>0</v>
      </c>
      <c r="AM57" s="321">
        <f t="shared" si="12"/>
        <v>128491.94</v>
      </c>
      <c r="AN57" s="321">
        <f t="shared" si="12"/>
        <v>0</v>
      </c>
      <c r="AO57" s="321">
        <f t="shared" si="12"/>
        <v>0</v>
      </c>
      <c r="AP57" s="70">
        <f t="shared" si="6"/>
        <v>128491.94</v>
      </c>
      <c r="AQ57" s="321">
        <f t="shared" si="7"/>
        <v>128491.94</v>
      </c>
      <c r="AR57" s="331">
        <f>+AP57-AQ57</f>
        <v>0</v>
      </c>
    </row>
    <row r="58" spans="1:44" ht="10.5">
      <c r="A58" s="1" t="s">
        <v>530</v>
      </c>
      <c r="B58" s="4">
        <v>15037322</v>
      </c>
      <c r="C58" s="1" t="s">
        <v>646</v>
      </c>
      <c r="D58" s="1" t="s">
        <v>623</v>
      </c>
      <c r="E58" s="7">
        <v>2006</v>
      </c>
      <c r="G58" s="1" t="s">
        <v>775</v>
      </c>
      <c r="H58" s="7">
        <v>91</v>
      </c>
      <c r="I58" s="7">
        <v>1</v>
      </c>
      <c r="J58" s="1" t="s">
        <v>751</v>
      </c>
      <c r="K58" s="1" t="s">
        <v>423</v>
      </c>
      <c r="L58" s="1" t="s">
        <v>745</v>
      </c>
      <c r="M58" s="333" t="s">
        <v>744</v>
      </c>
      <c r="N58" s="332">
        <v>40509</v>
      </c>
      <c r="O58" s="181">
        <v>24665.58</v>
      </c>
      <c r="P58" s="184">
        <v>20893.63</v>
      </c>
      <c r="Q58" s="229">
        <v>21556.13</v>
      </c>
      <c r="R58" s="192">
        <v>26816.92</v>
      </c>
      <c r="S58" s="195">
        <v>17516.28</v>
      </c>
      <c r="T58" s="238">
        <v>15270.53</v>
      </c>
      <c r="U58" s="212">
        <v>17429.77</v>
      </c>
      <c r="V58" s="212">
        <v>15936.05</v>
      </c>
      <c r="W58" s="350">
        <v>19798.240000000002</v>
      </c>
      <c r="X58" s="220">
        <v>25739.03</v>
      </c>
      <c r="Y58" s="304">
        <v>23349.200000000001</v>
      </c>
      <c r="Z58" s="172">
        <v>22855.65</v>
      </c>
      <c r="AA58" s="8">
        <f t="shared" si="9"/>
        <v>251827.00999999998</v>
      </c>
      <c r="AB58" s="1">
        <f t="shared" si="10"/>
        <v>12</v>
      </c>
      <c r="AC58" s="31">
        <f t="shared" si="11"/>
        <v>20985.584166666664</v>
      </c>
      <c r="AE58" s="321">
        <f t="shared" si="12"/>
        <v>0</v>
      </c>
      <c r="AF58" s="321">
        <f t="shared" si="12"/>
        <v>0</v>
      </c>
      <c r="AG58" s="321">
        <f t="shared" si="12"/>
        <v>0</v>
      </c>
      <c r="AH58" s="321">
        <f t="shared" si="12"/>
        <v>126719.07</v>
      </c>
      <c r="AI58" s="321">
        <f t="shared" si="12"/>
        <v>0</v>
      </c>
      <c r="AJ58" s="321">
        <f t="shared" si="12"/>
        <v>0</v>
      </c>
      <c r="AK58" s="321">
        <f t="shared" si="12"/>
        <v>0</v>
      </c>
      <c r="AL58" s="321">
        <f t="shared" si="12"/>
        <v>0</v>
      </c>
      <c r="AM58" s="321">
        <f t="shared" si="12"/>
        <v>0</v>
      </c>
      <c r="AN58" s="321">
        <f t="shared" si="12"/>
        <v>0</v>
      </c>
      <c r="AO58" s="321">
        <f t="shared" si="12"/>
        <v>0</v>
      </c>
      <c r="AP58" s="70">
        <f t="shared" si="6"/>
        <v>126719.07</v>
      </c>
      <c r="AQ58" s="321">
        <f t="shared" si="7"/>
        <v>126719.07</v>
      </c>
      <c r="AR58" s="331"/>
    </row>
    <row r="59" spans="1:44" ht="10.5">
      <c r="A59" s="1" t="s">
        <v>659</v>
      </c>
      <c r="B59" s="4">
        <v>15030829</v>
      </c>
      <c r="C59" s="1" t="s">
        <v>734</v>
      </c>
      <c r="D59" s="1" t="s">
        <v>529</v>
      </c>
      <c r="E59" s="338">
        <v>32721</v>
      </c>
      <c r="G59" s="1" t="s">
        <v>529</v>
      </c>
      <c r="H59" s="7">
        <v>110</v>
      </c>
      <c r="I59" s="7">
        <v>1</v>
      </c>
      <c r="J59" s="1" t="s">
        <v>776</v>
      </c>
      <c r="K59" s="1" t="s">
        <v>777</v>
      </c>
      <c r="L59" s="1" t="s">
        <v>745</v>
      </c>
      <c r="M59" s="333" t="s">
        <v>744</v>
      </c>
      <c r="N59" s="332">
        <v>40505</v>
      </c>
      <c r="O59" s="184">
        <v>13354.47</v>
      </c>
      <c r="P59" s="184">
        <v>10285.26</v>
      </c>
      <c r="Q59" s="229">
        <v>10658.58</v>
      </c>
      <c r="R59" s="192">
        <v>12036.34</v>
      </c>
      <c r="S59" s="238">
        <v>6489.67</v>
      </c>
      <c r="T59" s="238">
        <v>6030.16</v>
      </c>
      <c r="U59" s="347">
        <v>3337.61</v>
      </c>
      <c r="V59" s="32"/>
      <c r="W59" s="32"/>
      <c r="X59" s="32"/>
      <c r="Y59" s="32"/>
      <c r="Z59" s="32"/>
      <c r="AA59" s="8">
        <f t="shared" si="9"/>
        <v>62192.09</v>
      </c>
      <c r="AB59" s="1">
        <f t="shared" si="10"/>
        <v>7</v>
      </c>
      <c r="AC59" s="31">
        <f t="shared" si="11"/>
        <v>8884.5842857142852</v>
      </c>
      <c r="AE59" s="321">
        <f t="shared" si="12"/>
        <v>0</v>
      </c>
      <c r="AF59" s="321">
        <f t="shared" si="12"/>
        <v>0</v>
      </c>
      <c r="AG59" s="321">
        <f t="shared" ref="AF59:AO85" si="14">+IF($A59=AG$1,SUM($O59:$T59),0)</f>
        <v>0</v>
      </c>
      <c r="AH59" s="321">
        <f t="shared" si="14"/>
        <v>0</v>
      </c>
      <c r="AI59" s="321">
        <f t="shared" si="14"/>
        <v>0</v>
      </c>
      <c r="AJ59" s="321">
        <f t="shared" si="14"/>
        <v>0</v>
      </c>
      <c r="AK59" s="321">
        <f t="shared" si="14"/>
        <v>0</v>
      </c>
      <c r="AL59" s="321">
        <f t="shared" si="14"/>
        <v>58854.479999999996</v>
      </c>
      <c r="AM59" s="321">
        <f t="shared" si="14"/>
        <v>0</v>
      </c>
      <c r="AN59" s="321">
        <f t="shared" si="14"/>
        <v>0</v>
      </c>
      <c r="AO59" s="321">
        <f t="shared" si="14"/>
        <v>0</v>
      </c>
      <c r="AP59" s="70">
        <f t="shared" si="6"/>
        <v>58854.479999999996</v>
      </c>
      <c r="AQ59" s="321">
        <f t="shared" si="7"/>
        <v>58854.479999999996</v>
      </c>
      <c r="AR59" s="331">
        <f t="shared" ref="AR59:AR65" si="15">+AP59-AQ59</f>
        <v>0</v>
      </c>
    </row>
    <row r="60" spans="1:44" ht="10.5">
      <c r="A60" s="1" t="s">
        <v>530</v>
      </c>
      <c r="B60" s="4">
        <v>15037103</v>
      </c>
      <c r="C60" s="1" t="s">
        <v>604</v>
      </c>
      <c r="D60" s="1" t="s">
        <v>325</v>
      </c>
      <c r="E60" s="7">
        <v>2008</v>
      </c>
      <c r="G60" s="1" t="s">
        <v>325</v>
      </c>
      <c r="H60" s="7">
        <v>127</v>
      </c>
      <c r="I60" s="7">
        <v>2</v>
      </c>
      <c r="J60" s="1" t="s">
        <v>778</v>
      </c>
      <c r="K60" s="1" t="s">
        <v>779</v>
      </c>
      <c r="L60" s="1" t="s">
        <v>745</v>
      </c>
      <c r="M60" s="333" t="s">
        <v>744</v>
      </c>
      <c r="N60" s="332">
        <v>40509</v>
      </c>
      <c r="O60" s="181">
        <v>33204.620000000003</v>
      </c>
      <c r="P60" s="184">
        <v>29718.45</v>
      </c>
      <c r="Q60" s="229">
        <v>29451.45</v>
      </c>
      <c r="R60" s="192">
        <v>38993.17</v>
      </c>
      <c r="S60" s="195">
        <v>25343.66</v>
      </c>
      <c r="T60" s="238">
        <v>17501.52</v>
      </c>
      <c r="U60" s="212">
        <v>12480.5</v>
      </c>
      <c r="V60" s="212">
        <v>18897.54</v>
      </c>
      <c r="W60" s="350">
        <v>27773.49</v>
      </c>
      <c r="X60" s="220">
        <v>35617.42</v>
      </c>
      <c r="Y60" s="304">
        <v>32231.46</v>
      </c>
      <c r="Z60" s="172">
        <v>29995.78</v>
      </c>
      <c r="AA60" s="8">
        <f t="shared" si="9"/>
        <v>331209.06000000006</v>
      </c>
      <c r="AB60" s="1">
        <f t="shared" si="10"/>
        <v>12</v>
      </c>
      <c r="AC60" s="31">
        <f t="shared" si="11"/>
        <v>27600.755000000005</v>
      </c>
      <c r="AE60" s="321">
        <f t="shared" ref="AE60:AE117" si="16">+IF($A60=AE$1,SUM($O60:$T60),0)</f>
        <v>0</v>
      </c>
      <c r="AF60" s="321">
        <f t="shared" si="14"/>
        <v>0</v>
      </c>
      <c r="AG60" s="321">
        <f t="shared" si="14"/>
        <v>0</v>
      </c>
      <c r="AH60" s="321">
        <f t="shared" si="14"/>
        <v>174212.87</v>
      </c>
      <c r="AI60" s="321">
        <f t="shared" si="14"/>
        <v>0</v>
      </c>
      <c r="AJ60" s="321">
        <f t="shared" si="14"/>
        <v>0</v>
      </c>
      <c r="AK60" s="321">
        <f t="shared" si="14"/>
        <v>0</v>
      </c>
      <c r="AL60" s="321">
        <f t="shared" si="14"/>
        <v>0</v>
      </c>
      <c r="AM60" s="321">
        <f t="shared" si="14"/>
        <v>0</v>
      </c>
      <c r="AN60" s="321">
        <f t="shared" si="14"/>
        <v>0</v>
      </c>
      <c r="AO60" s="321">
        <f t="shared" si="14"/>
        <v>0</v>
      </c>
      <c r="AP60" s="70">
        <f t="shared" si="6"/>
        <v>174212.87</v>
      </c>
      <c r="AQ60" s="321">
        <f t="shared" si="7"/>
        <v>174212.87</v>
      </c>
      <c r="AR60" s="331">
        <f t="shared" si="15"/>
        <v>0</v>
      </c>
    </row>
    <row r="61" spans="1:44" ht="10.5">
      <c r="A61" s="1" t="s">
        <v>531</v>
      </c>
      <c r="B61" s="4">
        <v>15035829</v>
      </c>
      <c r="C61" s="1" t="s">
        <v>567</v>
      </c>
      <c r="D61" s="1" t="s">
        <v>253</v>
      </c>
      <c r="E61" s="7">
        <v>1977</v>
      </c>
      <c r="G61" s="1" t="s">
        <v>780</v>
      </c>
      <c r="H61" s="7">
        <v>366</v>
      </c>
      <c r="I61" s="7">
        <v>19</v>
      </c>
      <c r="J61" s="1" t="s">
        <v>778</v>
      </c>
      <c r="K61" s="1" t="s">
        <v>781</v>
      </c>
      <c r="L61" s="1" t="s">
        <v>745</v>
      </c>
      <c r="M61" s="333" t="s">
        <v>744</v>
      </c>
      <c r="N61" s="332">
        <v>40507</v>
      </c>
      <c r="O61" s="181">
        <v>94647.75</v>
      </c>
      <c r="P61" s="184">
        <v>74543.13</v>
      </c>
      <c r="Q61" s="229">
        <v>94504.39</v>
      </c>
      <c r="R61" s="192">
        <v>120429.13</v>
      </c>
      <c r="S61" s="195">
        <v>82227.67</v>
      </c>
      <c r="T61" s="238">
        <v>65844.899999999994</v>
      </c>
      <c r="U61" s="347">
        <v>73460.100000000006</v>
      </c>
      <c r="V61" s="212">
        <v>75450.490000000005</v>
      </c>
      <c r="W61" s="350">
        <v>96854.37</v>
      </c>
      <c r="X61" s="220">
        <v>110105.08</v>
      </c>
      <c r="Y61" s="304">
        <v>102926.64</v>
      </c>
      <c r="Z61" s="172">
        <v>90779.76</v>
      </c>
      <c r="AA61" s="8">
        <f t="shared" si="9"/>
        <v>1081773.4099999999</v>
      </c>
      <c r="AB61" s="1">
        <f t="shared" si="10"/>
        <v>12</v>
      </c>
      <c r="AC61" s="31">
        <f t="shared" si="11"/>
        <v>90147.784166666665</v>
      </c>
      <c r="AE61" s="321">
        <f t="shared" si="16"/>
        <v>0</v>
      </c>
      <c r="AF61" s="321">
        <f t="shared" si="14"/>
        <v>0</v>
      </c>
      <c r="AG61" s="321">
        <f t="shared" si="14"/>
        <v>532196.97</v>
      </c>
      <c r="AH61" s="321">
        <f t="shared" si="14"/>
        <v>0</v>
      </c>
      <c r="AI61" s="321">
        <f t="shared" si="14"/>
        <v>0</v>
      </c>
      <c r="AJ61" s="321">
        <f t="shared" si="14"/>
        <v>0</v>
      </c>
      <c r="AK61" s="321">
        <f t="shared" si="14"/>
        <v>0</v>
      </c>
      <c r="AL61" s="321">
        <f t="shared" si="14"/>
        <v>0</v>
      </c>
      <c r="AM61" s="321">
        <f t="shared" si="14"/>
        <v>0</v>
      </c>
      <c r="AN61" s="321">
        <f t="shared" si="14"/>
        <v>0</v>
      </c>
      <c r="AO61" s="321">
        <f t="shared" si="14"/>
        <v>0</v>
      </c>
      <c r="AP61" s="70">
        <f t="shared" si="6"/>
        <v>532196.97</v>
      </c>
      <c r="AQ61" s="321">
        <f t="shared" si="7"/>
        <v>532196.97</v>
      </c>
      <c r="AR61" s="331">
        <f t="shared" si="15"/>
        <v>0</v>
      </c>
    </row>
    <row r="62" spans="1:44" ht="10.5">
      <c r="A62" s="1" t="s">
        <v>664</v>
      </c>
      <c r="B62" s="4">
        <v>15020999</v>
      </c>
      <c r="C62" s="1" t="s">
        <v>528</v>
      </c>
      <c r="D62" s="1" t="s">
        <v>498</v>
      </c>
      <c r="E62" s="7">
        <v>2005</v>
      </c>
      <c r="F62" s="7">
        <v>132</v>
      </c>
      <c r="G62" s="1" t="s">
        <v>498</v>
      </c>
      <c r="H62" s="7">
        <v>62</v>
      </c>
      <c r="I62" s="7">
        <v>1</v>
      </c>
      <c r="K62" s="1" t="s">
        <v>455</v>
      </c>
      <c r="L62" s="1" t="s">
        <v>745</v>
      </c>
      <c r="M62" s="333" t="s">
        <v>744</v>
      </c>
      <c r="N62" s="332">
        <v>40504</v>
      </c>
      <c r="O62" s="181">
        <v>1938.36</v>
      </c>
      <c r="P62" s="184">
        <v>1791.22</v>
      </c>
      <c r="Q62" s="229">
        <v>2045.27</v>
      </c>
      <c r="R62" s="192">
        <v>2671.3</v>
      </c>
      <c r="S62" s="238">
        <v>1538.7</v>
      </c>
      <c r="T62" s="238">
        <v>1463</v>
      </c>
      <c r="U62" s="347">
        <v>1533.57</v>
      </c>
      <c r="V62" s="212">
        <v>1683.17</v>
      </c>
      <c r="W62" s="350">
        <v>1734.34</v>
      </c>
      <c r="X62" s="172">
        <v>3917.13</v>
      </c>
      <c r="Y62" s="172">
        <v>7713.32</v>
      </c>
      <c r="Z62" s="172">
        <v>7346</v>
      </c>
      <c r="AA62" s="8">
        <f t="shared" si="9"/>
        <v>35375.380000000005</v>
      </c>
      <c r="AB62" s="1">
        <f t="shared" si="10"/>
        <v>12</v>
      </c>
      <c r="AC62" s="31">
        <f t="shared" si="11"/>
        <v>2947.9483333333337</v>
      </c>
      <c r="AE62" s="321">
        <f t="shared" si="16"/>
        <v>0</v>
      </c>
      <c r="AF62" s="321">
        <f t="shared" si="14"/>
        <v>0</v>
      </c>
      <c r="AG62" s="321">
        <f t="shared" si="14"/>
        <v>0</v>
      </c>
      <c r="AH62" s="321">
        <f t="shared" si="14"/>
        <v>0</v>
      </c>
      <c r="AI62" s="321">
        <f t="shared" si="14"/>
        <v>0</v>
      </c>
      <c r="AJ62" s="321">
        <f t="shared" si="14"/>
        <v>0</v>
      </c>
      <c r="AK62" s="321">
        <f t="shared" si="14"/>
        <v>0</v>
      </c>
      <c r="AL62" s="321">
        <f t="shared" si="14"/>
        <v>0</v>
      </c>
      <c r="AM62" s="321">
        <f t="shared" si="14"/>
        <v>0</v>
      </c>
      <c r="AN62" s="321">
        <f t="shared" si="14"/>
        <v>11447.850000000002</v>
      </c>
      <c r="AO62" s="321">
        <f t="shared" si="14"/>
        <v>0</v>
      </c>
      <c r="AP62" s="70">
        <f t="shared" si="6"/>
        <v>11447.850000000002</v>
      </c>
      <c r="AQ62" s="321">
        <f t="shared" si="7"/>
        <v>11447.850000000002</v>
      </c>
      <c r="AR62" s="331">
        <f t="shared" si="15"/>
        <v>0</v>
      </c>
    </row>
    <row r="63" spans="1:44" ht="10.5">
      <c r="A63" s="1" t="s">
        <v>705</v>
      </c>
      <c r="B63" s="4">
        <v>15037912</v>
      </c>
      <c r="C63" s="1" t="s">
        <v>692</v>
      </c>
      <c r="D63" s="1" t="s">
        <v>584</v>
      </c>
      <c r="H63" s="1">
        <v>1</v>
      </c>
      <c r="O63" s="32"/>
      <c r="P63" s="184">
        <v>227.4</v>
      </c>
      <c r="Q63" s="229">
        <v>221.72</v>
      </c>
      <c r="R63" s="192">
        <v>54.84</v>
      </c>
      <c r="S63" s="195">
        <v>186.41</v>
      </c>
      <c r="T63" s="238">
        <v>190.99</v>
      </c>
      <c r="U63" s="347">
        <v>155.69</v>
      </c>
      <c r="V63" s="32"/>
      <c r="W63" s="32"/>
      <c r="X63" s="32"/>
      <c r="Y63" s="304">
        <v>46.3</v>
      </c>
      <c r="Z63" s="172">
        <v>103.75</v>
      </c>
      <c r="AA63" s="8">
        <f t="shared" si="9"/>
        <v>1187.0999999999999</v>
      </c>
      <c r="AB63" s="1">
        <f t="shared" si="10"/>
        <v>8</v>
      </c>
      <c r="AC63" s="31">
        <f t="shared" si="11"/>
        <v>148.38749999999999</v>
      </c>
      <c r="AE63" s="321">
        <f t="shared" si="16"/>
        <v>0</v>
      </c>
      <c r="AF63" s="321">
        <f t="shared" si="14"/>
        <v>0</v>
      </c>
      <c r="AG63" s="321">
        <f t="shared" si="14"/>
        <v>0</v>
      </c>
      <c r="AH63" s="321">
        <f t="shared" si="14"/>
        <v>0</v>
      </c>
      <c r="AI63" s="321">
        <f t="shared" si="14"/>
        <v>0</v>
      </c>
      <c r="AJ63" s="321">
        <f t="shared" si="14"/>
        <v>0</v>
      </c>
      <c r="AK63" s="321">
        <f t="shared" si="14"/>
        <v>0</v>
      </c>
      <c r="AL63" s="321">
        <f t="shared" si="14"/>
        <v>0</v>
      </c>
      <c r="AM63" s="321">
        <f t="shared" si="14"/>
        <v>0</v>
      </c>
      <c r="AN63" s="321">
        <f t="shared" si="14"/>
        <v>0</v>
      </c>
      <c r="AO63" s="321">
        <f t="shared" si="14"/>
        <v>881.36</v>
      </c>
      <c r="AP63" s="70">
        <f t="shared" si="6"/>
        <v>881.36</v>
      </c>
      <c r="AQ63" s="321">
        <f t="shared" si="7"/>
        <v>881.36</v>
      </c>
      <c r="AR63" s="331">
        <f t="shared" si="15"/>
        <v>0</v>
      </c>
    </row>
    <row r="64" spans="1:44" ht="10.5">
      <c r="A64" s="1" t="s">
        <v>705</v>
      </c>
      <c r="B64" s="42">
        <v>15058872</v>
      </c>
      <c r="C64" s="11" t="s">
        <v>831</v>
      </c>
      <c r="D64" s="11" t="s">
        <v>832</v>
      </c>
      <c r="E64" s="11"/>
      <c r="F64" s="340"/>
      <c r="G64" s="11"/>
      <c r="H64" s="11">
        <v>1</v>
      </c>
      <c r="I64" s="11"/>
      <c r="J64" s="11"/>
      <c r="K64" s="11"/>
      <c r="L64" s="11"/>
      <c r="M64" s="11"/>
      <c r="N64" s="11"/>
      <c r="O64" s="181"/>
      <c r="P64" s="184"/>
      <c r="Q64" s="229"/>
      <c r="R64" s="192"/>
      <c r="S64" s="195"/>
      <c r="T64" s="238"/>
      <c r="U64" s="347">
        <v>130.38999999999999</v>
      </c>
      <c r="V64" s="32"/>
      <c r="W64" s="32"/>
      <c r="X64" s="32"/>
      <c r="Y64" s="32"/>
      <c r="Z64" s="32"/>
      <c r="AA64" s="8">
        <f t="shared" si="9"/>
        <v>130.38999999999999</v>
      </c>
      <c r="AB64" s="1">
        <f t="shared" si="10"/>
        <v>1</v>
      </c>
      <c r="AC64" s="31">
        <f t="shared" si="11"/>
        <v>130.38999999999999</v>
      </c>
      <c r="AE64" s="321">
        <f t="shared" si="16"/>
        <v>0</v>
      </c>
      <c r="AF64" s="321">
        <f t="shared" si="14"/>
        <v>0</v>
      </c>
      <c r="AG64" s="321">
        <f t="shared" si="14"/>
        <v>0</v>
      </c>
      <c r="AH64" s="321">
        <f t="shared" si="14"/>
        <v>0</v>
      </c>
      <c r="AI64" s="321">
        <f t="shared" si="14"/>
        <v>0</v>
      </c>
      <c r="AJ64" s="321">
        <f t="shared" si="14"/>
        <v>0</v>
      </c>
      <c r="AK64" s="321">
        <f t="shared" si="14"/>
        <v>0</v>
      </c>
      <c r="AL64" s="321">
        <f t="shared" si="14"/>
        <v>0</v>
      </c>
      <c r="AM64" s="321">
        <f t="shared" si="14"/>
        <v>0</v>
      </c>
      <c r="AN64" s="321">
        <f t="shared" si="14"/>
        <v>0</v>
      </c>
      <c r="AO64" s="321">
        <f t="shared" si="14"/>
        <v>0</v>
      </c>
      <c r="AP64" s="70">
        <f t="shared" si="6"/>
        <v>0</v>
      </c>
      <c r="AQ64" s="321">
        <f t="shared" si="7"/>
        <v>0</v>
      </c>
      <c r="AR64" s="331">
        <f t="shared" si="15"/>
        <v>0</v>
      </c>
    </row>
    <row r="65" spans="1:44" ht="10.5">
      <c r="A65" s="1" t="s">
        <v>535</v>
      </c>
      <c r="B65" s="4">
        <v>7002501</v>
      </c>
      <c r="C65" s="1" t="s">
        <v>729</v>
      </c>
      <c r="D65" s="1" t="s">
        <v>508</v>
      </c>
      <c r="H65" s="1">
        <v>0</v>
      </c>
      <c r="K65" s="1" t="s">
        <v>427</v>
      </c>
      <c r="L65" s="1" t="s">
        <v>745</v>
      </c>
      <c r="M65" s="333" t="s">
        <v>744</v>
      </c>
      <c r="N65" s="1">
        <v>40511</v>
      </c>
      <c r="O65" s="181">
        <v>3853</v>
      </c>
      <c r="P65" s="184"/>
      <c r="Q65" s="229"/>
      <c r="R65" s="192"/>
      <c r="S65" s="195"/>
      <c r="T65" s="238"/>
      <c r="U65" s="306"/>
      <c r="V65" s="212"/>
      <c r="W65" s="350"/>
      <c r="X65" s="220"/>
      <c r="Y65" s="304"/>
      <c r="Z65" s="172"/>
      <c r="AA65" s="8">
        <f t="shared" si="9"/>
        <v>3853</v>
      </c>
      <c r="AB65" s="1">
        <f t="shared" si="10"/>
        <v>1</v>
      </c>
      <c r="AC65" s="31">
        <f t="shared" si="11"/>
        <v>3853</v>
      </c>
      <c r="AD65" s="17"/>
      <c r="AE65" s="321">
        <f t="shared" si="16"/>
        <v>0</v>
      </c>
      <c r="AF65" s="321">
        <f t="shared" si="14"/>
        <v>0</v>
      </c>
      <c r="AG65" s="321">
        <f t="shared" si="14"/>
        <v>0</v>
      </c>
      <c r="AH65" s="321">
        <f t="shared" si="14"/>
        <v>0</v>
      </c>
      <c r="AI65" s="321">
        <f t="shared" si="14"/>
        <v>0</v>
      </c>
      <c r="AJ65" s="321">
        <f t="shared" si="14"/>
        <v>3853</v>
      </c>
      <c r="AK65" s="321">
        <f t="shared" si="14"/>
        <v>0</v>
      </c>
      <c r="AL65" s="321">
        <f t="shared" si="14"/>
        <v>0</v>
      </c>
      <c r="AM65" s="321">
        <f t="shared" si="14"/>
        <v>0</v>
      </c>
      <c r="AN65" s="321">
        <f t="shared" si="14"/>
        <v>0</v>
      </c>
      <c r="AO65" s="321">
        <f t="shared" si="14"/>
        <v>0</v>
      </c>
      <c r="AP65" s="70">
        <f t="shared" si="6"/>
        <v>3853</v>
      </c>
      <c r="AQ65" s="321">
        <f t="shared" si="7"/>
        <v>3853</v>
      </c>
      <c r="AR65" s="331">
        <f t="shared" si="15"/>
        <v>0</v>
      </c>
    </row>
    <row r="66" spans="1:44" ht="10.5">
      <c r="A66" s="1" t="s">
        <v>535</v>
      </c>
      <c r="B66" s="4">
        <v>7002600</v>
      </c>
      <c r="C66" s="1" t="s">
        <v>655</v>
      </c>
      <c r="D66" s="1" t="s">
        <v>806</v>
      </c>
      <c r="E66" s="338">
        <v>30042</v>
      </c>
      <c r="G66" s="1" t="s">
        <v>808</v>
      </c>
      <c r="H66" s="7">
        <v>129</v>
      </c>
      <c r="I66" s="7">
        <v>0</v>
      </c>
      <c r="K66" s="1" t="s">
        <v>807</v>
      </c>
      <c r="L66" s="1" t="s">
        <v>745</v>
      </c>
      <c r="M66" s="333" t="s">
        <v>744</v>
      </c>
      <c r="N66" s="332">
        <v>40511</v>
      </c>
      <c r="O66" s="181">
        <v>18899.419999999998</v>
      </c>
      <c r="P66" s="184">
        <v>16425.07</v>
      </c>
      <c r="Q66" s="229">
        <v>14577.7</v>
      </c>
      <c r="R66" s="192">
        <v>17857.34</v>
      </c>
      <c r="S66" s="238">
        <v>10039.36</v>
      </c>
      <c r="T66" s="238">
        <v>6148.86</v>
      </c>
      <c r="U66" s="347">
        <v>6025.25</v>
      </c>
      <c r="V66" s="212">
        <v>6154.92</v>
      </c>
      <c r="W66" s="350">
        <v>9420.14</v>
      </c>
      <c r="X66" s="220">
        <v>15737.35</v>
      </c>
      <c r="Y66" s="304">
        <v>15529.14</v>
      </c>
      <c r="Z66" s="172">
        <v>14586.32</v>
      </c>
      <c r="AA66" s="8">
        <f t="shared" si="9"/>
        <v>151400.87</v>
      </c>
      <c r="AB66" s="1">
        <f t="shared" si="10"/>
        <v>12</v>
      </c>
      <c r="AC66" s="31">
        <f t="shared" si="11"/>
        <v>12616.739166666666</v>
      </c>
      <c r="AE66" s="321">
        <f t="shared" si="16"/>
        <v>0</v>
      </c>
      <c r="AF66" s="321">
        <f t="shared" si="14"/>
        <v>0</v>
      </c>
      <c r="AG66" s="321">
        <f t="shared" si="14"/>
        <v>0</v>
      </c>
      <c r="AH66" s="321">
        <f t="shared" si="14"/>
        <v>0</v>
      </c>
      <c r="AI66" s="321">
        <f t="shared" si="14"/>
        <v>0</v>
      </c>
      <c r="AJ66" s="321">
        <f t="shared" si="14"/>
        <v>83947.75</v>
      </c>
      <c r="AK66" s="321">
        <f t="shared" si="14"/>
        <v>0</v>
      </c>
      <c r="AL66" s="321">
        <f t="shared" si="14"/>
        <v>0</v>
      </c>
      <c r="AM66" s="321">
        <f t="shared" si="14"/>
        <v>0</v>
      </c>
      <c r="AN66" s="321">
        <f t="shared" si="14"/>
        <v>0</v>
      </c>
      <c r="AO66" s="321">
        <f t="shared" si="14"/>
        <v>0</v>
      </c>
      <c r="AP66" s="70">
        <f t="shared" si="6"/>
        <v>83947.75</v>
      </c>
      <c r="AQ66" s="321">
        <f t="shared" si="7"/>
        <v>83947.75</v>
      </c>
      <c r="AR66" s="331"/>
    </row>
    <row r="67" spans="1:44" ht="10.5">
      <c r="A67" s="1" t="s">
        <v>533</v>
      </c>
      <c r="B67" s="4">
        <v>7008200</v>
      </c>
      <c r="C67" s="1" t="s">
        <v>347</v>
      </c>
      <c r="D67" s="1" t="s">
        <v>347</v>
      </c>
      <c r="E67" s="338">
        <v>36281</v>
      </c>
      <c r="G67" s="1" t="s">
        <v>782</v>
      </c>
      <c r="H67" s="7">
        <v>72</v>
      </c>
      <c r="I67" s="7">
        <v>1</v>
      </c>
      <c r="K67" s="1" t="s">
        <v>428</v>
      </c>
      <c r="L67" s="1" t="s">
        <v>745</v>
      </c>
      <c r="M67" s="333" t="s">
        <v>744</v>
      </c>
      <c r="N67" s="332">
        <v>40509</v>
      </c>
      <c r="O67" s="181">
        <v>12821.53</v>
      </c>
      <c r="P67" s="184">
        <v>11305.26</v>
      </c>
      <c r="Q67" s="229">
        <v>11487.92</v>
      </c>
      <c r="R67" s="192">
        <v>13556.27</v>
      </c>
      <c r="S67" s="238">
        <v>8870.1299999999992</v>
      </c>
      <c r="T67" s="347">
        <v>8240.56</v>
      </c>
      <c r="U67" s="347">
        <v>7265.66</v>
      </c>
      <c r="V67" s="212">
        <v>6977.86</v>
      </c>
      <c r="W67" s="350">
        <v>11666.54</v>
      </c>
      <c r="X67" s="220">
        <v>14150.03</v>
      </c>
      <c r="Y67" s="304">
        <v>12124.57</v>
      </c>
      <c r="Z67" s="172">
        <v>12964.59</v>
      </c>
      <c r="AA67" s="8">
        <f t="shared" ref="AA67:AA99" si="17">+SUM(O67:Z67)</f>
        <v>131430.92000000001</v>
      </c>
      <c r="AB67" s="1">
        <f t="shared" ref="AB67:AB99" si="18">COUNT(O67:Z67)</f>
        <v>12</v>
      </c>
      <c r="AC67" s="31">
        <f t="shared" ref="AC67:AC99" si="19">+IF(AA67=0,0,AA67/AB67)</f>
        <v>10952.576666666668</v>
      </c>
      <c r="AE67" s="321">
        <f t="shared" si="16"/>
        <v>0</v>
      </c>
      <c r="AF67" s="321">
        <f t="shared" si="14"/>
        <v>0</v>
      </c>
      <c r="AG67" s="321">
        <f t="shared" si="14"/>
        <v>0</v>
      </c>
      <c r="AH67" s="321">
        <f t="shared" si="14"/>
        <v>0</v>
      </c>
      <c r="AI67" s="321">
        <f t="shared" si="14"/>
        <v>0</v>
      </c>
      <c r="AJ67" s="321">
        <f t="shared" si="14"/>
        <v>0</v>
      </c>
      <c r="AK67" s="321">
        <f t="shared" si="14"/>
        <v>66281.67</v>
      </c>
      <c r="AL67" s="321">
        <f t="shared" si="14"/>
        <v>0</v>
      </c>
      <c r="AM67" s="321">
        <f t="shared" si="14"/>
        <v>0</v>
      </c>
      <c r="AN67" s="321">
        <f t="shared" si="14"/>
        <v>0</v>
      </c>
      <c r="AO67" s="321">
        <f t="shared" si="14"/>
        <v>0</v>
      </c>
      <c r="AP67" s="70">
        <f t="shared" si="6"/>
        <v>66281.67</v>
      </c>
      <c r="AQ67" s="321">
        <f t="shared" si="7"/>
        <v>66281.67</v>
      </c>
      <c r="AR67" s="331">
        <f t="shared" ref="AR67:AR76" si="20">+AP67-AQ67</f>
        <v>0</v>
      </c>
    </row>
    <row r="68" spans="1:44" ht="10.5">
      <c r="A68" s="1" t="s">
        <v>705</v>
      </c>
      <c r="B68" s="42">
        <v>15037548</v>
      </c>
      <c r="C68" s="11" t="s">
        <v>697</v>
      </c>
      <c r="D68" s="11" t="s">
        <v>697</v>
      </c>
      <c r="E68" s="11"/>
      <c r="F68" s="340"/>
      <c r="G68" s="11"/>
      <c r="H68" s="11">
        <v>1</v>
      </c>
      <c r="I68" s="11"/>
      <c r="J68" s="11"/>
      <c r="K68" s="11"/>
      <c r="L68" s="11"/>
      <c r="M68" s="11"/>
      <c r="N68" s="11"/>
      <c r="O68" s="32"/>
      <c r="P68" s="32"/>
      <c r="Q68" s="32"/>
      <c r="R68" s="193">
        <v>370.17</v>
      </c>
      <c r="S68" s="240">
        <v>113.9</v>
      </c>
      <c r="T68" s="240">
        <v>142.37</v>
      </c>
      <c r="U68" s="136"/>
      <c r="V68" s="136"/>
      <c r="W68" s="136"/>
      <c r="X68" s="222">
        <v>370.17</v>
      </c>
      <c r="Y68" s="136"/>
      <c r="Z68" s="136"/>
      <c r="AA68" s="8">
        <f t="shared" si="17"/>
        <v>996.61000000000013</v>
      </c>
      <c r="AB68" s="1">
        <f t="shared" si="18"/>
        <v>4</v>
      </c>
      <c r="AC68" s="31">
        <f t="shared" si="19"/>
        <v>249.15250000000003</v>
      </c>
      <c r="AD68" s="17"/>
      <c r="AE68" s="321">
        <f t="shared" si="16"/>
        <v>0</v>
      </c>
      <c r="AF68" s="321">
        <f t="shared" si="14"/>
        <v>0</v>
      </c>
      <c r="AG68" s="321">
        <f t="shared" si="14"/>
        <v>0</v>
      </c>
      <c r="AH68" s="321">
        <f t="shared" si="14"/>
        <v>0</v>
      </c>
      <c r="AI68" s="321">
        <f t="shared" si="14"/>
        <v>0</v>
      </c>
      <c r="AJ68" s="321">
        <f t="shared" si="14"/>
        <v>0</v>
      </c>
      <c r="AK68" s="321">
        <f t="shared" si="14"/>
        <v>0</v>
      </c>
      <c r="AL68" s="321">
        <f t="shared" si="14"/>
        <v>0</v>
      </c>
      <c r="AM68" s="321">
        <f t="shared" si="14"/>
        <v>0</v>
      </c>
      <c r="AN68" s="321">
        <f t="shared" si="14"/>
        <v>0</v>
      </c>
      <c r="AO68" s="321">
        <f t="shared" si="14"/>
        <v>626.44000000000005</v>
      </c>
      <c r="AP68" s="70">
        <f t="shared" ref="AP68:AP117" si="21">+SUM(AE68:AO68)</f>
        <v>626.44000000000005</v>
      </c>
      <c r="AQ68" s="321">
        <f t="shared" ref="AQ68:AQ117" si="22">+SUM(O68:T68)</f>
        <v>626.44000000000005</v>
      </c>
      <c r="AR68" s="331">
        <f t="shared" si="20"/>
        <v>0</v>
      </c>
    </row>
    <row r="69" spans="1:44" ht="10.5">
      <c r="A69" s="1" t="s">
        <v>537</v>
      </c>
      <c r="B69" s="4">
        <v>7007600</v>
      </c>
      <c r="C69" s="1" t="s">
        <v>258</v>
      </c>
      <c r="D69" s="1" t="s">
        <v>258</v>
      </c>
      <c r="E69" s="338">
        <v>35977</v>
      </c>
      <c r="G69" s="1" t="s">
        <v>827</v>
      </c>
      <c r="H69" s="7">
        <v>72</v>
      </c>
      <c r="I69" s="7">
        <v>3</v>
      </c>
      <c r="J69" s="1" t="s">
        <v>754</v>
      </c>
      <c r="K69" s="1" t="s">
        <v>458</v>
      </c>
      <c r="L69" s="1" t="s">
        <v>745</v>
      </c>
      <c r="M69" s="333" t="s">
        <v>744</v>
      </c>
      <c r="N69" s="332">
        <v>40513</v>
      </c>
      <c r="O69" s="180">
        <v>15526.37</v>
      </c>
      <c r="P69" s="185">
        <v>13658.04</v>
      </c>
      <c r="Q69" s="233">
        <v>14349.02</v>
      </c>
      <c r="R69" s="192">
        <v>18397.3</v>
      </c>
      <c r="S69" s="238">
        <v>12806.21</v>
      </c>
      <c r="T69" s="238">
        <f>9580.54+10818.93</f>
        <v>20399.47</v>
      </c>
      <c r="U69" s="347">
        <v>8499.26</v>
      </c>
      <c r="V69" s="212">
        <v>9268.0400000000009</v>
      </c>
      <c r="W69" s="350">
        <v>13405.03</v>
      </c>
      <c r="X69" s="220">
        <v>17161.27</v>
      </c>
      <c r="Y69" s="304">
        <v>14586.8</v>
      </c>
      <c r="Z69" s="172">
        <v>10229.969999999999</v>
      </c>
      <c r="AA69" s="8">
        <f t="shared" si="17"/>
        <v>168286.77999999997</v>
      </c>
      <c r="AB69" s="1">
        <f t="shared" si="18"/>
        <v>12</v>
      </c>
      <c r="AC69" s="31">
        <f t="shared" si="19"/>
        <v>14023.898333333331</v>
      </c>
      <c r="AE69" s="321">
        <f t="shared" si="16"/>
        <v>0</v>
      </c>
      <c r="AF69" s="321">
        <f>+IF($A69=AF$1,SUM($O69:$T69),0)</f>
        <v>95136.41</v>
      </c>
      <c r="AG69" s="321">
        <f t="shared" si="14"/>
        <v>0</v>
      </c>
      <c r="AH69" s="321">
        <f t="shared" si="14"/>
        <v>0</v>
      </c>
      <c r="AI69" s="321">
        <f t="shared" si="14"/>
        <v>0</v>
      </c>
      <c r="AJ69" s="321">
        <f t="shared" si="14"/>
        <v>0</v>
      </c>
      <c r="AK69" s="321">
        <f t="shared" si="14"/>
        <v>0</v>
      </c>
      <c r="AL69" s="321">
        <f t="shared" si="14"/>
        <v>0</v>
      </c>
      <c r="AM69" s="321">
        <f t="shared" si="14"/>
        <v>0</v>
      </c>
      <c r="AN69" s="321">
        <f t="shared" si="14"/>
        <v>0</v>
      </c>
      <c r="AO69" s="321">
        <f t="shared" si="14"/>
        <v>0</v>
      </c>
      <c r="AP69" s="70">
        <f t="shared" si="21"/>
        <v>95136.41</v>
      </c>
      <c r="AQ69" s="321">
        <f t="shared" si="22"/>
        <v>95136.41</v>
      </c>
      <c r="AR69" s="331">
        <f t="shared" si="20"/>
        <v>0</v>
      </c>
    </row>
    <row r="70" spans="1:44" ht="10.5">
      <c r="A70" s="1" t="s">
        <v>537</v>
      </c>
      <c r="B70" s="4">
        <v>7006300</v>
      </c>
      <c r="C70" s="1" t="s">
        <v>261</v>
      </c>
      <c r="D70" s="1" t="s">
        <v>261</v>
      </c>
      <c r="E70" s="338">
        <v>34486</v>
      </c>
      <c r="G70" s="1" t="s">
        <v>814</v>
      </c>
      <c r="H70" s="7">
        <v>67</v>
      </c>
      <c r="I70" s="7">
        <v>0</v>
      </c>
      <c r="J70" s="1" t="s">
        <v>751</v>
      </c>
      <c r="K70" s="1" t="s">
        <v>813</v>
      </c>
      <c r="L70" s="1" t="s">
        <v>745</v>
      </c>
      <c r="M70" s="333" t="s">
        <v>744</v>
      </c>
      <c r="N70" s="332">
        <v>40513</v>
      </c>
      <c r="O70" s="181">
        <v>18411.259999999998</v>
      </c>
      <c r="P70" s="184">
        <v>16158.45</v>
      </c>
      <c r="Q70" s="229">
        <v>17297.349999999999</v>
      </c>
      <c r="R70" s="192">
        <v>23185.87</v>
      </c>
      <c r="S70" s="238">
        <v>13529.5</v>
      </c>
      <c r="T70" s="32"/>
      <c r="U70" s="347">
        <v>11951.96</v>
      </c>
      <c r="V70" s="212">
        <v>12288.2</v>
      </c>
      <c r="W70" s="350">
        <v>15976.11</v>
      </c>
      <c r="X70" s="220">
        <v>22157.4</v>
      </c>
      <c r="Y70" s="304">
        <v>18470.580000000002</v>
      </c>
      <c r="Z70" s="172">
        <v>16802.75</v>
      </c>
      <c r="AA70" s="8">
        <f t="shared" si="17"/>
        <v>186229.43</v>
      </c>
      <c r="AB70" s="1">
        <f t="shared" si="18"/>
        <v>11</v>
      </c>
      <c r="AC70" s="31">
        <f t="shared" si="19"/>
        <v>16929.948181818181</v>
      </c>
      <c r="AE70" s="321">
        <f t="shared" si="16"/>
        <v>0</v>
      </c>
      <c r="AF70" s="321">
        <f t="shared" si="14"/>
        <v>88582.43</v>
      </c>
      <c r="AG70" s="321">
        <f t="shared" si="14"/>
        <v>0</v>
      </c>
      <c r="AH70" s="321">
        <f t="shared" si="14"/>
        <v>0</v>
      </c>
      <c r="AI70" s="321">
        <f t="shared" si="14"/>
        <v>0</v>
      </c>
      <c r="AJ70" s="321">
        <f t="shared" si="14"/>
        <v>0</v>
      </c>
      <c r="AK70" s="321">
        <f t="shared" si="14"/>
        <v>0</v>
      </c>
      <c r="AL70" s="321">
        <f t="shared" si="14"/>
        <v>0</v>
      </c>
      <c r="AM70" s="321">
        <f t="shared" si="14"/>
        <v>0</v>
      </c>
      <c r="AN70" s="321">
        <f t="shared" si="14"/>
        <v>0</v>
      </c>
      <c r="AO70" s="321">
        <f t="shared" si="14"/>
        <v>0</v>
      </c>
      <c r="AP70" s="70">
        <f t="shared" si="21"/>
        <v>88582.43</v>
      </c>
      <c r="AQ70" s="321">
        <f t="shared" si="22"/>
        <v>88582.43</v>
      </c>
      <c r="AR70" s="331">
        <f t="shared" si="20"/>
        <v>0</v>
      </c>
    </row>
    <row r="71" spans="1:44" ht="10.5">
      <c r="A71" s="1" t="s">
        <v>659</v>
      </c>
      <c r="B71" s="4">
        <v>7002700</v>
      </c>
      <c r="C71" s="1" t="s">
        <v>262</v>
      </c>
      <c r="D71" s="1" t="s">
        <v>262</v>
      </c>
      <c r="F71" s="7">
        <v>110</v>
      </c>
      <c r="H71" s="1">
        <v>30</v>
      </c>
      <c r="K71" s="1" t="s">
        <v>842</v>
      </c>
      <c r="L71" s="1" t="s">
        <v>745</v>
      </c>
      <c r="M71" s="333" t="s">
        <v>744</v>
      </c>
      <c r="N71" s="1">
        <v>40505</v>
      </c>
      <c r="O71" s="184">
        <v>107.45</v>
      </c>
      <c r="P71" s="229">
        <v>183.91</v>
      </c>
      <c r="Q71" s="229">
        <v>156.75</v>
      </c>
      <c r="R71" s="192">
        <v>192.81</v>
      </c>
      <c r="S71" s="238">
        <v>192.81</v>
      </c>
      <c r="T71" s="238">
        <v>161.16999999999999</v>
      </c>
      <c r="U71" s="304">
        <v>221.66</v>
      </c>
      <c r="V71" s="220">
        <v>183.91</v>
      </c>
      <c r="W71" s="220">
        <v>185.38</v>
      </c>
      <c r="X71" s="32"/>
      <c r="Y71" s="32"/>
      <c r="Z71" s="172">
        <v>182.51</v>
      </c>
      <c r="AA71" s="8">
        <f t="shared" si="17"/>
        <v>1768.36</v>
      </c>
      <c r="AB71" s="1">
        <f t="shared" si="18"/>
        <v>10</v>
      </c>
      <c r="AC71" s="31">
        <f t="shared" si="19"/>
        <v>176.83599999999998</v>
      </c>
      <c r="AE71" s="321">
        <f t="shared" si="16"/>
        <v>0</v>
      </c>
      <c r="AF71" s="321">
        <f t="shared" si="14"/>
        <v>0</v>
      </c>
      <c r="AG71" s="321">
        <f t="shared" si="14"/>
        <v>0</v>
      </c>
      <c r="AH71" s="321">
        <f t="shared" si="14"/>
        <v>0</v>
      </c>
      <c r="AI71" s="321">
        <f t="shared" si="14"/>
        <v>0</v>
      </c>
      <c r="AJ71" s="321">
        <f t="shared" si="14"/>
        <v>0</v>
      </c>
      <c r="AK71" s="321">
        <f t="shared" si="14"/>
        <v>0</v>
      </c>
      <c r="AL71" s="321">
        <f t="shared" si="14"/>
        <v>994.9</v>
      </c>
      <c r="AM71" s="321">
        <f t="shared" si="14"/>
        <v>0</v>
      </c>
      <c r="AN71" s="321">
        <f t="shared" si="14"/>
        <v>0</v>
      </c>
      <c r="AO71" s="321">
        <f t="shared" si="14"/>
        <v>0</v>
      </c>
      <c r="AP71" s="70">
        <f t="shared" si="21"/>
        <v>994.9</v>
      </c>
      <c r="AQ71" s="321">
        <f t="shared" si="22"/>
        <v>994.9</v>
      </c>
      <c r="AR71" s="331">
        <f t="shared" si="20"/>
        <v>0</v>
      </c>
    </row>
    <row r="72" spans="1:44" ht="10.5">
      <c r="A72" s="1" t="s">
        <v>533</v>
      </c>
      <c r="B72" s="4">
        <v>7008700</v>
      </c>
      <c r="C72" s="1" t="s">
        <v>109</v>
      </c>
      <c r="D72" s="1" t="s">
        <v>109</v>
      </c>
      <c r="E72" s="7" t="s">
        <v>794</v>
      </c>
      <c r="F72" s="7">
        <v>773</v>
      </c>
      <c r="G72" s="1" t="s">
        <v>795</v>
      </c>
      <c r="H72" s="7">
        <v>200</v>
      </c>
      <c r="I72" s="7"/>
      <c r="K72" s="1" t="s">
        <v>796</v>
      </c>
      <c r="L72" s="1" t="s">
        <v>745</v>
      </c>
      <c r="M72" s="333" t="s">
        <v>744</v>
      </c>
      <c r="N72" s="332">
        <v>40517</v>
      </c>
      <c r="O72" s="181">
        <v>1780.62</v>
      </c>
      <c r="P72" s="184">
        <v>813.47</v>
      </c>
      <c r="Q72" s="229">
        <v>4671.8500000000004</v>
      </c>
      <c r="R72" s="192">
        <v>1945.31</v>
      </c>
      <c r="S72" s="195">
        <v>1890.04</v>
      </c>
      <c r="T72" s="238">
        <v>347.24</v>
      </c>
      <c r="U72" s="347">
        <v>243.53</v>
      </c>
      <c r="V72" s="212">
        <v>80.239999999999995</v>
      </c>
      <c r="W72" s="350">
        <v>819.43</v>
      </c>
      <c r="X72" s="220">
        <v>1723.01</v>
      </c>
      <c r="Y72" s="304">
        <v>1062.0999999999999</v>
      </c>
      <c r="Z72" s="172">
        <v>840.66</v>
      </c>
      <c r="AA72" s="8">
        <f t="shared" si="17"/>
        <v>16217.500000000002</v>
      </c>
      <c r="AB72" s="1">
        <f t="shared" si="18"/>
        <v>12</v>
      </c>
      <c r="AC72" s="31">
        <f t="shared" si="19"/>
        <v>1351.4583333333335</v>
      </c>
      <c r="AE72" s="321">
        <f t="shared" si="16"/>
        <v>0</v>
      </c>
      <c r="AF72" s="321">
        <f t="shared" si="14"/>
        <v>0</v>
      </c>
      <c r="AG72" s="321">
        <f t="shared" si="14"/>
        <v>0</v>
      </c>
      <c r="AH72" s="321">
        <f t="shared" si="14"/>
        <v>0</v>
      </c>
      <c r="AI72" s="321">
        <f t="shared" si="14"/>
        <v>0</v>
      </c>
      <c r="AJ72" s="321">
        <f t="shared" si="14"/>
        <v>0</v>
      </c>
      <c r="AK72" s="321">
        <f t="shared" si="14"/>
        <v>11448.53</v>
      </c>
      <c r="AL72" s="321">
        <f t="shared" si="14"/>
        <v>0</v>
      </c>
      <c r="AM72" s="321">
        <f t="shared" si="14"/>
        <v>0</v>
      </c>
      <c r="AN72" s="321">
        <f t="shared" si="14"/>
        <v>0</v>
      </c>
      <c r="AO72" s="321">
        <f t="shared" si="14"/>
        <v>0</v>
      </c>
      <c r="AP72" s="70">
        <f t="shared" si="21"/>
        <v>11448.53</v>
      </c>
      <c r="AQ72" s="321">
        <f t="shared" si="22"/>
        <v>11448.53</v>
      </c>
      <c r="AR72" s="331">
        <f t="shared" si="20"/>
        <v>0</v>
      </c>
    </row>
    <row r="73" spans="1:44" ht="10.5">
      <c r="A73" s="1" t="s">
        <v>705</v>
      </c>
      <c r="B73" s="42">
        <v>15052031</v>
      </c>
      <c r="C73" s="11" t="s">
        <v>711</v>
      </c>
      <c r="D73" s="11" t="s">
        <v>711</v>
      </c>
      <c r="E73" s="11"/>
      <c r="F73" s="340"/>
      <c r="G73" s="11"/>
      <c r="H73" s="11">
        <v>1</v>
      </c>
      <c r="I73" s="11"/>
      <c r="J73" s="11"/>
      <c r="K73" s="11"/>
      <c r="L73" s="11"/>
      <c r="M73" s="11"/>
      <c r="N73" s="11"/>
      <c r="O73" s="181">
        <v>76.5</v>
      </c>
      <c r="P73" s="32"/>
      <c r="Q73" s="229">
        <f>210.38+279.06</f>
        <v>489.44</v>
      </c>
      <c r="R73" s="192">
        <f>259.85+197.63</f>
        <v>457.48</v>
      </c>
      <c r="S73" s="195">
        <v>178.5</v>
      </c>
      <c r="T73" s="238">
        <v>124.83</v>
      </c>
      <c r="U73" s="347">
        <v>46.75</v>
      </c>
      <c r="V73" s="212">
        <v>93.5</v>
      </c>
      <c r="W73" s="350">
        <v>125.38</v>
      </c>
      <c r="X73" s="220">
        <v>240.13</v>
      </c>
      <c r="Y73" s="304">
        <v>197.15</v>
      </c>
      <c r="Z73" s="172">
        <v>104.13</v>
      </c>
      <c r="AA73" s="8">
        <f t="shared" si="17"/>
        <v>2133.7900000000004</v>
      </c>
      <c r="AB73" s="1">
        <f t="shared" si="18"/>
        <v>11</v>
      </c>
      <c r="AC73" s="31">
        <f t="shared" si="19"/>
        <v>193.98090909090914</v>
      </c>
      <c r="AE73" s="321">
        <f t="shared" si="16"/>
        <v>0</v>
      </c>
      <c r="AF73" s="321">
        <f t="shared" si="14"/>
        <v>0</v>
      </c>
      <c r="AG73" s="321">
        <f t="shared" si="14"/>
        <v>0</v>
      </c>
      <c r="AH73" s="321">
        <f t="shared" si="14"/>
        <v>0</v>
      </c>
      <c r="AI73" s="321">
        <f t="shared" si="14"/>
        <v>0</v>
      </c>
      <c r="AJ73" s="321">
        <f t="shared" si="14"/>
        <v>0</v>
      </c>
      <c r="AK73" s="321">
        <f t="shared" si="14"/>
        <v>0</v>
      </c>
      <c r="AL73" s="321">
        <f t="shared" si="14"/>
        <v>0</v>
      </c>
      <c r="AM73" s="321">
        <f t="shared" si="14"/>
        <v>0</v>
      </c>
      <c r="AN73" s="321">
        <f t="shared" si="14"/>
        <v>0</v>
      </c>
      <c r="AO73" s="321">
        <f t="shared" si="14"/>
        <v>1326.75</v>
      </c>
      <c r="AP73" s="70">
        <f t="shared" si="21"/>
        <v>1326.75</v>
      </c>
      <c r="AQ73" s="321">
        <f t="shared" si="22"/>
        <v>1326.75</v>
      </c>
      <c r="AR73" s="331">
        <f t="shared" si="20"/>
        <v>0</v>
      </c>
    </row>
    <row r="74" spans="1:44" ht="10.5">
      <c r="A74" s="1" t="s">
        <v>705</v>
      </c>
      <c r="B74" s="4">
        <v>7008800</v>
      </c>
      <c r="C74" s="1" t="s">
        <v>88</v>
      </c>
      <c r="D74" s="1" t="s">
        <v>88</v>
      </c>
      <c r="E74" s="7">
        <v>2002</v>
      </c>
      <c r="F74" s="7">
        <v>534</v>
      </c>
      <c r="G74" s="1" t="s">
        <v>793</v>
      </c>
      <c r="H74" s="7">
        <v>7</v>
      </c>
      <c r="I74" s="7">
        <v>0</v>
      </c>
      <c r="K74" s="1" t="s">
        <v>431</v>
      </c>
      <c r="L74" s="1" t="s">
        <v>745</v>
      </c>
      <c r="M74" s="333" t="s">
        <v>744</v>
      </c>
      <c r="N74" s="332">
        <v>40508</v>
      </c>
      <c r="O74" s="181">
        <v>963.39</v>
      </c>
      <c r="P74" s="184">
        <v>779.32</v>
      </c>
      <c r="Q74" s="229">
        <v>1134.4000000000001</v>
      </c>
      <c r="R74" s="192">
        <v>1877.59</v>
      </c>
      <c r="S74" s="195">
        <v>1064.29</v>
      </c>
      <c r="T74" s="238">
        <v>153.31</v>
      </c>
      <c r="U74" s="347">
        <v>444.4</v>
      </c>
      <c r="V74" s="212">
        <v>476.45</v>
      </c>
      <c r="W74" s="350">
        <v>537.70000000000005</v>
      </c>
      <c r="X74" s="220">
        <v>1233.0899999999999</v>
      </c>
      <c r="Y74" s="304">
        <v>1147.57</v>
      </c>
      <c r="Z74" s="172">
        <v>839.87</v>
      </c>
      <c r="AA74" s="8">
        <f t="shared" si="17"/>
        <v>10651.38</v>
      </c>
      <c r="AB74" s="1">
        <f t="shared" si="18"/>
        <v>12</v>
      </c>
      <c r="AC74" s="31">
        <f t="shared" si="19"/>
        <v>887.6149999999999</v>
      </c>
      <c r="AE74" s="321">
        <f t="shared" si="16"/>
        <v>0</v>
      </c>
      <c r="AF74" s="321">
        <f t="shared" si="14"/>
        <v>0</v>
      </c>
      <c r="AG74" s="321">
        <f t="shared" si="14"/>
        <v>0</v>
      </c>
      <c r="AH74" s="321">
        <f t="shared" si="14"/>
        <v>0</v>
      </c>
      <c r="AI74" s="321">
        <f t="shared" si="14"/>
        <v>0</v>
      </c>
      <c r="AJ74" s="321">
        <f t="shared" si="14"/>
        <v>0</v>
      </c>
      <c r="AK74" s="321">
        <f t="shared" si="14"/>
        <v>0</v>
      </c>
      <c r="AL74" s="321">
        <f t="shared" si="14"/>
        <v>0</v>
      </c>
      <c r="AM74" s="321">
        <f t="shared" si="14"/>
        <v>0</v>
      </c>
      <c r="AN74" s="321">
        <f t="shared" si="14"/>
        <v>0</v>
      </c>
      <c r="AO74" s="321">
        <f t="shared" si="14"/>
        <v>5972.3</v>
      </c>
      <c r="AP74" s="70">
        <f t="shared" si="21"/>
        <v>5972.3</v>
      </c>
      <c r="AQ74" s="321">
        <f t="shared" si="22"/>
        <v>5972.3</v>
      </c>
      <c r="AR74" s="331">
        <f t="shared" si="20"/>
        <v>0</v>
      </c>
    </row>
    <row r="75" spans="1:44" ht="10.5">
      <c r="A75" s="1" t="s">
        <v>705</v>
      </c>
      <c r="B75" s="42">
        <v>13943600</v>
      </c>
      <c r="C75" s="11" t="s">
        <v>628</v>
      </c>
      <c r="D75" s="11" t="s">
        <v>602</v>
      </c>
      <c r="E75" s="11"/>
      <c r="F75" s="340"/>
      <c r="G75" s="11"/>
      <c r="H75" s="11">
        <v>1</v>
      </c>
      <c r="I75" s="11"/>
      <c r="J75" s="11"/>
      <c r="K75" s="11"/>
      <c r="L75" s="11"/>
      <c r="M75" s="11"/>
      <c r="N75" s="11"/>
      <c r="O75" s="180">
        <v>524.16</v>
      </c>
      <c r="P75" s="136"/>
      <c r="Q75" s="233">
        <f>130.68+332.38</f>
        <v>463.06</v>
      </c>
      <c r="R75" s="348">
        <v>628.22</v>
      </c>
      <c r="S75" s="348">
        <v>294.11</v>
      </c>
      <c r="T75" s="348">
        <v>236.89</v>
      </c>
      <c r="U75" s="348">
        <v>183.45</v>
      </c>
      <c r="V75" s="136"/>
      <c r="W75" s="32"/>
      <c r="X75" s="32"/>
      <c r="Y75" s="32"/>
      <c r="Z75" s="32"/>
      <c r="AA75" s="8">
        <f t="shared" si="17"/>
        <v>2329.89</v>
      </c>
      <c r="AB75" s="1">
        <f t="shared" si="18"/>
        <v>6</v>
      </c>
      <c r="AC75" s="31">
        <f t="shared" si="19"/>
        <v>388.315</v>
      </c>
      <c r="AE75" s="321">
        <f t="shared" si="16"/>
        <v>0</v>
      </c>
      <c r="AF75" s="321">
        <f t="shared" si="14"/>
        <v>0</v>
      </c>
      <c r="AG75" s="321">
        <f t="shared" si="14"/>
        <v>0</v>
      </c>
      <c r="AH75" s="321">
        <f t="shared" si="14"/>
        <v>0</v>
      </c>
      <c r="AI75" s="321">
        <f t="shared" si="14"/>
        <v>0</v>
      </c>
      <c r="AJ75" s="321">
        <f t="shared" si="14"/>
        <v>0</v>
      </c>
      <c r="AK75" s="321">
        <f t="shared" si="14"/>
        <v>0</v>
      </c>
      <c r="AL75" s="321">
        <f t="shared" si="14"/>
        <v>0</v>
      </c>
      <c r="AM75" s="321">
        <f t="shared" si="14"/>
        <v>0</v>
      </c>
      <c r="AN75" s="321">
        <f t="shared" si="14"/>
        <v>0</v>
      </c>
      <c r="AO75" s="321">
        <f t="shared" si="14"/>
        <v>2146.44</v>
      </c>
      <c r="AP75" s="70">
        <f t="shared" si="21"/>
        <v>2146.44</v>
      </c>
      <c r="AQ75" s="321">
        <f t="shared" si="22"/>
        <v>2146.44</v>
      </c>
      <c r="AR75" s="331">
        <f t="shared" si="20"/>
        <v>0</v>
      </c>
    </row>
    <row r="76" spans="1:44" ht="10.5">
      <c r="A76" s="1" t="s">
        <v>705</v>
      </c>
      <c r="B76" s="42">
        <v>15059608</v>
      </c>
      <c r="C76" s="11" t="s">
        <v>847</v>
      </c>
      <c r="D76" s="11" t="s">
        <v>847</v>
      </c>
      <c r="E76" s="11"/>
      <c r="F76" s="340"/>
      <c r="G76" s="11"/>
      <c r="H76" s="11">
        <v>1</v>
      </c>
      <c r="I76" s="11"/>
      <c r="J76" s="11"/>
      <c r="K76" s="11"/>
      <c r="L76" s="11"/>
      <c r="M76" s="11"/>
      <c r="N76" s="11"/>
      <c r="O76" s="181"/>
      <c r="P76" s="184"/>
      <c r="Q76" s="229"/>
      <c r="R76" s="192"/>
      <c r="S76" s="195"/>
      <c r="T76" s="238"/>
      <c r="U76" s="306"/>
      <c r="V76" s="212"/>
      <c r="W76" s="350">
        <v>459.28</v>
      </c>
      <c r="X76" s="220">
        <v>379.71</v>
      </c>
      <c r="Y76" s="304">
        <v>368.36</v>
      </c>
      <c r="Z76" s="172">
        <v>352.56</v>
      </c>
      <c r="AA76" s="8">
        <f t="shared" si="17"/>
        <v>1559.9099999999999</v>
      </c>
      <c r="AB76" s="1">
        <f t="shared" si="18"/>
        <v>4</v>
      </c>
      <c r="AC76" s="31">
        <f t="shared" si="19"/>
        <v>389.97749999999996</v>
      </c>
      <c r="AE76" s="321">
        <f t="shared" si="16"/>
        <v>0</v>
      </c>
      <c r="AF76" s="321">
        <f t="shared" si="14"/>
        <v>0</v>
      </c>
      <c r="AG76" s="321">
        <f t="shared" si="14"/>
        <v>0</v>
      </c>
      <c r="AH76" s="321">
        <f t="shared" si="14"/>
        <v>0</v>
      </c>
      <c r="AI76" s="321">
        <f t="shared" si="14"/>
        <v>0</v>
      </c>
      <c r="AJ76" s="321">
        <f t="shared" si="14"/>
        <v>0</v>
      </c>
      <c r="AK76" s="321">
        <f t="shared" si="14"/>
        <v>0</v>
      </c>
      <c r="AL76" s="321">
        <f t="shared" si="14"/>
        <v>0</v>
      </c>
      <c r="AM76" s="321">
        <f t="shared" si="14"/>
        <v>0</v>
      </c>
      <c r="AN76" s="321">
        <f t="shared" si="14"/>
        <v>0</v>
      </c>
      <c r="AO76" s="321">
        <f t="shared" si="14"/>
        <v>0</v>
      </c>
      <c r="AP76" s="70">
        <f t="shared" si="21"/>
        <v>0</v>
      </c>
      <c r="AQ76" s="321">
        <f t="shared" si="22"/>
        <v>0</v>
      </c>
      <c r="AR76" s="331">
        <f t="shared" si="20"/>
        <v>0</v>
      </c>
    </row>
    <row r="77" spans="1:44" ht="10.5">
      <c r="A77" s="1" t="s">
        <v>705</v>
      </c>
      <c r="B77" s="4">
        <v>15062248</v>
      </c>
      <c r="D77" s="1" t="s">
        <v>877</v>
      </c>
      <c r="E77" s="11"/>
      <c r="F77" s="340"/>
      <c r="G77" s="11"/>
      <c r="H77" s="11"/>
      <c r="I77" s="11"/>
      <c r="J77" s="11"/>
      <c r="K77" s="11"/>
      <c r="L77" s="11"/>
      <c r="M77" s="11"/>
      <c r="N77" s="11"/>
      <c r="O77" s="180"/>
      <c r="P77" s="185"/>
      <c r="Q77" s="233"/>
      <c r="R77" s="193"/>
      <c r="S77" s="196"/>
      <c r="T77" s="240"/>
      <c r="U77" s="307"/>
      <c r="V77" s="211"/>
      <c r="W77" s="351"/>
      <c r="X77" s="222"/>
      <c r="Y77" s="181">
        <v>1960.72</v>
      </c>
      <c r="Z77" s="136"/>
      <c r="AA77" s="8"/>
      <c r="AC77" s="31"/>
      <c r="AE77" s="321"/>
      <c r="AF77" s="321"/>
      <c r="AG77" s="321"/>
      <c r="AH77" s="321"/>
      <c r="AI77" s="321"/>
      <c r="AJ77" s="321"/>
      <c r="AK77" s="321"/>
      <c r="AL77" s="321"/>
      <c r="AM77" s="321"/>
      <c r="AN77" s="321"/>
      <c r="AO77" s="321"/>
      <c r="AP77" s="70"/>
      <c r="AQ77" s="321"/>
      <c r="AR77" s="331"/>
    </row>
    <row r="78" spans="1:44" ht="10.5">
      <c r="A78" s="1" t="s">
        <v>663</v>
      </c>
      <c r="B78" s="4">
        <v>10288600</v>
      </c>
      <c r="C78" s="1" t="s">
        <v>264</v>
      </c>
      <c r="D78" s="1" t="s">
        <v>264</v>
      </c>
      <c r="E78" s="7">
        <v>1982</v>
      </c>
      <c r="F78" s="7">
        <v>134</v>
      </c>
      <c r="G78" s="1" t="s">
        <v>809</v>
      </c>
      <c r="H78" s="7">
        <v>409</v>
      </c>
      <c r="I78" s="7">
        <v>26</v>
      </c>
      <c r="J78" s="1" t="s">
        <v>765</v>
      </c>
      <c r="K78" s="1" t="s">
        <v>432</v>
      </c>
      <c r="L78" s="1" t="s">
        <v>745</v>
      </c>
      <c r="M78" s="333" t="s">
        <v>744</v>
      </c>
      <c r="N78" s="332">
        <v>40511</v>
      </c>
      <c r="O78" s="181">
        <v>120188.63</v>
      </c>
      <c r="P78" s="184">
        <v>128591.66</v>
      </c>
      <c r="Q78" s="229">
        <v>112319.17</v>
      </c>
      <c r="R78" s="192">
        <v>151283.97</v>
      </c>
      <c r="S78" s="195">
        <v>97937.84</v>
      </c>
      <c r="T78" s="238">
        <v>51175.26</v>
      </c>
      <c r="U78" s="32"/>
      <c r="V78" s="32"/>
      <c r="W78" s="350">
        <v>89294.64</v>
      </c>
      <c r="X78" s="220">
        <v>131183.01999999999</v>
      </c>
      <c r="Y78" s="304">
        <v>132187.65</v>
      </c>
      <c r="Z78" s="172">
        <v>118432.64</v>
      </c>
      <c r="AA78" s="8">
        <f t="shared" si="17"/>
        <v>1132594.48</v>
      </c>
      <c r="AB78" s="1">
        <f t="shared" si="18"/>
        <v>10</v>
      </c>
      <c r="AC78" s="31">
        <f t="shared" si="19"/>
        <v>113259.448</v>
      </c>
      <c r="AE78" s="321">
        <f t="shared" si="16"/>
        <v>0</v>
      </c>
      <c r="AF78" s="321">
        <f t="shared" si="14"/>
        <v>0</v>
      </c>
      <c r="AG78" s="321">
        <f t="shared" si="14"/>
        <v>0</v>
      </c>
      <c r="AH78" s="321">
        <f t="shared" si="14"/>
        <v>0</v>
      </c>
      <c r="AI78" s="321">
        <f t="shared" si="14"/>
        <v>0</v>
      </c>
      <c r="AJ78" s="321">
        <f t="shared" si="14"/>
        <v>661496.53</v>
      </c>
      <c r="AK78" s="321">
        <f t="shared" si="14"/>
        <v>0</v>
      </c>
      <c r="AL78" s="321">
        <f t="shared" si="14"/>
        <v>0</v>
      </c>
      <c r="AM78" s="321">
        <f t="shared" si="14"/>
        <v>0</v>
      </c>
      <c r="AN78" s="321">
        <f t="shared" si="14"/>
        <v>0</v>
      </c>
      <c r="AO78" s="321">
        <f t="shared" si="14"/>
        <v>0</v>
      </c>
      <c r="AP78" s="70">
        <f t="shared" si="21"/>
        <v>661496.53</v>
      </c>
      <c r="AQ78" s="321">
        <f t="shared" si="22"/>
        <v>661496.53</v>
      </c>
      <c r="AR78" s="331"/>
    </row>
    <row r="79" spans="1:44" ht="10.5">
      <c r="A79" s="1" t="s">
        <v>705</v>
      </c>
      <c r="B79" s="4">
        <v>15010643</v>
      </c>
      <c r="C79" s="1" t="s">
        <v>691</v>
      </c>
      <c r="D79" s="1" t="s">
        <v>586</v>
      </c>
      <c r="H79" s="1">
        <v>1</v>
      </c>
      <c r="O79" s="180">
        <v>32.130000000000003</v>
      </c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32"/>
      <c r="AA79" s="8">
        <f t="shared" si="17"/>
        <v>32.130000000000003</v>
      </c>
      <c r="AB79" s="1">
        <f t="shared" si="18"/>
        <v>1</v>
      </c>
      <c r="AC79" s="31">
        <f t="shared" si="19"/>
        <v>32.130000000000003</v>
      </c>
      <c r="AE79" s="321">
        <f t="shared" si="16"/>
        <v>0</v>
      </c>
      <c r="AF79" s="321">
        <f t="shared" si="14"/>
        <v>0</v>
      </c>
      <c r="AG79" s="321">
        <f t="shared" si="14"/>
        <v>0</v>
      </c>
      <c r="AH79" s="321">
        <f t="shared" si="14"/>
        <v>0</v>
      </c>
      <c r="AI79" s="321">
        <f t="shared" si="14"/>
        <v>0</v>
      </c>
      <c r="AJ79" s="321">
        <f t="shared" si="14"/>
        <v>0</v>
      </c>
      <c r="AK79" s="321">
        <f t="shared" si="14"/>
        <v>0</v>
      </c>
      <c r="AL79" s="321">
        <f t="shared" si="14"/>
        <v>0</v>
      </c>
      <c r="AM79" s="321">
        <f t="shared" si="14"/>
        <v>0</v>
      </c>
      <c r="AN79" s="321">
        <f t="shared" si="14"/>
        <v>0</v>
      </c>
      <c r="AO79" s="321">
        <f t="shared" si="14"/>
        <v>32.130000000000003</v>
      </c>
      <c r="AP79" s="70">
        <f t="shared" si="21"/>
        <v>32.130000000000003</v>
      </c>
      <c r="AQ79" s="321">
        <f t="shared" si="22"/>
        <v>32.130000000000003</v>
      </c>
      <c r="AR79" s="331">
        <f>+AP79-AQ79</f>
        <v>0</v>
      </c>
    </row>
    <row r="80" spans="1:44" ht="10.5">
      <c r="A80" s="1" t="s">
        <v>659</v>
      </c>
      <c r="B80" s="4">
        <v>7005102</v>
      </c>
      <c r="C80" s="1" t="s">
        <v>633</v>
      </c>
      <c r="D80" s="1" t="s">
        <v>265</v>
      </c>
      <c r="E80" s="338">
        <v>33025</v>
      </c>
      <c r="F80" s="7">
        <v>111</v>
      </c>
      <c r="G80" s="1" t="s">
        <v>783</v>
      </c>
      <c r="H80" s="7">
        <v>99</v>
      </c>
      <c r="I80" s="7">
        <v>0</v>
      </c>
      <c r="J80" s="1" t="s">
        <v>776</v>
      </c>
      <c r="K80" s="1" t="s">
        <v>434</v>
      </c>
      <c r="L80" s="1" t="s">
        <v>745</v>
      </c>
      <c r="M80" s="333" t="s">
        <v>744</v>
      </c>
      <c r="N80" s="332">
        <v>40505</v>
      </c>
      <c r="O80" s="181">
        <v>11829.89</v>
      </c>
      <c r="P80" s="32"/>
      <c r="Q80" s="229">
        <v>8812.9699999999993</v>
      </c>
      <c r="R80" s="192">
        <v>13204.71</v>
      </c>
      <c r="S80" s="195">
        <v>7182.35</v>
      </c>
      <c r="T80" s="238">
        <v>6549.58</v>
      </c>
      <c r="U80" s="347">
        <v>6139.57</v>
      </c>
      <c r="V80" s="212">
        <v>6191.16</v>
      </c>
      <c r="W80" s="350">
        <v>8979.1200000000008</v>
      </c>
      <c r="X80" s="220">
        <v>11525.37</v>
      </c>
      <c r="Y80" s="304">
        <v>10716.321</v>
      </c>
      <c r="Z80" s="172">
        <v>8741.7000000000007</v>
      </c>
      <c r="AA80" s="8">
        <f t="shared" si="17"/>
        <v>99872.74099999998</v>
      </c>
      <c r="AB80" s="1">
        <f t="shared" si="18"/>
        <v>11</v>
      </c>
      <c r="AC80" s="31">
        <f t="shared" si="19"/>
        <v>9079.3400909090888</v>
      </c>
      <c r="AE80" s="321">
        <f t="shared" si="16"/>
        <v>0</v>
      </c>
      <c r="AF80" s="321">
        <f t="shared" si="14"/>
        <v>0</v>
      </c>
      <c r="AG80" s="321">
        <f t="shared" si="14"/>
        <v>0</v>
      </c>
      <c r="AH80" s="321">
        <f t="shared" si="14"/>
        <v>0</v>
      </c>
      <c r="AI80" s="321">
        <f t="shared" si="14"/>
        <v>0</v>
      </c>
      <c r="AJ80" s="321">
        <f t="shared" si="14"/>
        <v>0</v>
      </c>
      <c r="AK80" s="321">
        <f t="shared" si="14"/>
        <v>0</v>
      </c>
      <c r="AL80" s="321">
        <f t="shared" si="14"/>
        <v>47579.5</v>
      </c>
      <c r="AM80" s="321">
        <f t="shared" si="14"/>
        <v>0</v>
      </c>
      <c r="AN80" s="321">
        <f t="shared" si="14"/>
        <v>0</v>
      </c>
      <c r="AO80" s="321">
        <f t="shared" si="14"/>
        <v>0</v>
      </c>
      <c r="AP80" s="70">
        <f t="shared" si="21"/>
        <v>47579.5</v>
      </c>
      <c r="AQ80" s="321">
        <f t="shared" si="22"/>
        <v>47579.5</v>
      </c>
      <c r="AR80" s="331">
        <f>+AP80-AQ80</f>
        <v>0</v>
      </c>
    </row>
    <row r="81" spans="1:44" ht="10.5">
      <c r="A81" s="1" t="s">
        <v>659</v>
      </c>
      <c r="B81" s="4">
        <v>15028327</v>
      </c>
      <c r="C81" s="1" t="s">
        <v>566</v>
      </c>
      <c r="D81" s="1" t="s">
        <v>511</v>
      </c>
      <c r="E81" s="7">
        <v>1981</v>
      </c>
      <c r="F81" s="7">
        <v>112</v>
      </c>
      <c r="G81" s="1" t="s">
        <v>511</v>
      </c>
      <c r="H81" s="7">
        <v>98</v>
      </c>
      <c r="I81" s="7">
        <v>0</v>
      </c>
      <c r="K81" s="1" t="s">
        <v>435</v>
      </c>
      <c r="L81" s="1" t="s">
        <v>745</v>
      </c>
      <c r="M81" s="333" t="s">
        <v>744</v>
      </c>
      <c r="N81" s="332">
        <v>40505</v>
      </c>
      <c r="O81" s="180">
        <v>8214.59</v>
      </c>
      <c r="P81" s="185">
        <v>6367.41</v>
      </c>
      <c r="Q81" s="233">
        <v>6696.93</v>
      </c>
      <c r="R81" s="193">
        <v>7334</v>
      </c>
      <c r="S81" s="240">
        <v>6002.59</v>
      </c>
      <c r="T81" s="240">
        <v>5640.08</v>
      </c>
      <c r="U81" s="348">
        <v>4903.22</v>
      </c>
      <c r="V81" s="211">
        <v>4961.6000000000004</v>
      </c>
      <c r="W81" s="350">
        <v>6612.09</v>
      </c>
      <c r="X81" s="220">
        <v>8455.58</v>
      </c>
      <c r="Y81" s="304">
        <v>7296.84</v>
      </c>
      <c r="Z81" s="184">
        <v>7198.83</v>
      </c>
      <c r="AA81" s="8">
        <f t="shared" si="17"/>
        <v>79683.760000000009</v>
      </c>
      <c r="AB81" s="1">
        <f t="shared" si="18"/>
        <v>12</v>
      </c>
      <c r="AC81" s="31">
        <f t="shared" si="19"/>
        <v>6640.3133333333344</v>
      </c>
      <c r="AE81" s="321">
        <f t="shared" si="16"/>
        <v>0</v>
      </c>
      <c r="AF81" s="321">
        <f t="shared" si="14"/>
        <v>0</v>
      </c>
      <c r="AG81" s="321">
        <f t="shared" si="14"/>
        <v>0</v>
      </c>
      <c r="AH81" s="321">
        <f t="shared" si="14"/>
        <v>0</v>
      </c>
      <c r="AI81" s="321">
        <f t="shared" si="14"/>
        <v>0</v>
      </c>
      <c r="AJ81" s="321">
        <f t="shared" si="14"/>
        <v>0</v>
      </c>
      <c r="AK81" s="321">
        <f t="shared" si="14"/>
        <v>0</v>
      </c>
      <c r="AL81" s="321">
        <f t="shared" si="14"/>
        <v>40255.600000000006</v>
      </c>
      <c r="AM81" s="321">
        <f t="shared" si="14"/>
        <v>0</v>
      </c>
      <c r="AN81" s="321">
        <f t="shared" si="14"/>
        <v>0</v>
      </c>
      <c r="AO81" s="321">
        <f t="shared" si="14"/>
        <v>0</v>
      </c>
      <c r="AP81" s="70">
        <f t="shared" si="21"/>
        <v>40255.600000000006</v>
      </c>
      <c r="AQ81" s="321">
        <f t="shared" si="22"/>
        <v>40255.600000000006</v>
      </c>
      <c r="AR81" s="331">
        <f>+AP81-AQ81</f>
        <v>0</v>
      </c>
    </row>
    <row r="82" spans="1:44" ht="10.5">
      <c r="A82" s="1" t="s">
        <v>705</v>
      </c>
      <c r="B82" s="4">
        <v>15028936</v>
      </c>
      <c r="C82" s="1" t="s">
        <v>478</v>
      </c>
      <c r="D82" s="1" t="s">
        <v>478</v>
      </c>
      <c r="H82" s="1">
        <v>1</v>
      </c>
      <c r="O82" s="180">
        <v>198.17</v>
      </c>
      <c r="P82" s="185">
        <v>390.55</v>
      </c>
      <c r="Q82" s="233">
        <v>221.73</v>
      </c>
      <c r="R82" s="193">
        <v>91.99</v>
      </c>
      <c r="S82" s="240">
        <v>32.94</v>
      </c>
      <c r="T82" s="136"/>
      <c r="U82" s="136"/>
      <c r="V82" s="136"/>
      <c r="W82" s="136"/>
      <c r="X82" s="136"/>
      <c r="Y82" s="136"/>
      <c r="Z82" s="136"/>
      <c r="AA82" s="8">
        <f t="shared" si="17"/>
        <v>935.38000000000011</v>
      </c>
      <c r="AB82" s="1">
        <f t="shared" si="18"/>
        <v>5</v>
      </c>
      <c r="AC82" s="31">
        <f t="shared" si="19"/>
        <v>187.07600000000002</v>
      </c>
      <c r="AE82" s="321">
        <f t="shared" si="16"/>
        <v>0</v>
      </c>
      <c r="AF82" s="321">
        <f t="shared" si="14"/>
        <v>0</v>
      </c>
      <c r="AG82" s="321">
        <f t="shared" si="14"/>
        <v>0</v>
      </c>
      <c r="AH82" s="321">
        <f t="shared" si="14"/>
        <v>0</v>
      </c>
      <c r="AI82" s="321">
        <f t="shared" si="14"/>
        <v>0</v>
      </c>
      <c r="AJ82" s="321">
        <f t="shared" si="14"/>
        <v>0</v>
      </c>
      <c r="AK82" s="321">
        <f t="shared" si="14"/>
        <v>0</v>
      </c>
      <c r="AL82" s="321">
        <f t="shared" si="14"/>
        <v>0</v>
      </c>
      <c r="AM82" s="321">
        <f t="shared" si="14"/>
        <v>0</v>
      </c>
      <c r="AN82" s="321">
        <f t="shared" si="14"/>
        <v>0</v>
      </c>
      <c r="AO82" s="321">
        <f t="shared" si="14"/>
        <v>935.38000000000011</v>
      </c>
      <c r="AP82" s="70">
        <f t="shared" si="21"/>
        <v>935.38000000000011</v>
      </c>
      <c r="AQ82" s="321">
        <f t="shared" si="22"/>
        <v>935.38000000000011</v>
      </c>
      <c r="AR82" s="331">
        <f>+AP82-AQ82</f>
        <v>0</v>
      </c>
    </row>
    <row r="83" spans="1:44" ht="10.5">
      <c r="A83" s="1" t="s">
        <v>659</v>
      </c>
      <c r="B83" s="4">
        <v>15036180</v>
      </c>
      <c r="C83" s="1" t="s">
        <v>626</v>
      </c>
      <c r="D83" s="1" t="s">
        <v>687</v>
      </c>
      <c r="E83" s="338">
        <v>33482</v>
      </c>
      <c r="G83" s="1" t="s">
        <v>687</v>
      </c>
      <c r="H83" s="7">
        <v>122</v>
      </c>
      <c r="I83" s="7">
        <v>3</v>
      </c>
      <c r="J83" s="1" t="s">
        <v>754</v>
      </c>
      <c r="K83" s="1" t="s">
        <v>407</v>
      </c>
      <c r="L83" s="1" t="s">
        <v>745</v>
      </c>
      <c r="M83" s="333" t="s">
        <v>744</v>
      </c>
      <c r="N83" s="332">
        <v>40505</v>
      </c>
      <c r="O83" s="181">
        <v>10781.29</v>
      </c>
      <c r="P83" s="184">
        <v>7710.66</v>
      </c>
      <c r="Q83" s="229">
        <v>7787.81</v>
      </c>
      <c r="R83" s="192">
        <v>13603.95</v>
      </c>
      <c r="S83" s="238">
        <v>5048.88</v>
      </c>
      <c r="T83" s="238">
        <v>4457.33</v>
      </c>
      <c r="U83" s="347">
        <v>4023.26</v>
      </c>
      <c r="V83" s="212">
        <v>4412.6000000000004</v>
      </c>
      <c r="W83" s="350">
        <v>8550.74</v>
      </c>
      <c r="X83" s="220">
        <v>13867.1</v>
      </c>
      <c r="Y83" s="172">
        <v>11520.47</v>
      </c>
      <c r="Z83" s="172">
        <v>10551.73</v>
      </c>
      <c r="AA83" s="8">
        <f t="shared" si="17"/>
        <v>102315.82</v>
      </c>
      <c r="AB83" s="1">
        <f t="shared" si="18"/>
        <v>12</v>
      </c>
      <c r="AC83" s="31">
        <f t="shared" si="19"/>
        <v>8526.3183333333345</v>
      </c>
      <c r="AE83" s="321">
        <f t="shared" si="16"/>
        <v>0</v>
      </c>
      <c r="AF83" s="321">
        <f t="shared" si="14"/>
        <v>0</v>
      </c>
      <c r="AG83" s="321">
        <f t="shared" si="14"/>
        <v>0</v>
      </c>
      <c r="AH83" s="321">
        <f t="shared" si="14"/>
        <v>0</v>
      </c>
      <c r="AI83" s="321">
        <f t="shared" si="14"/>
        <v>0</v>
      </c>
      <c r="AJ83" s="321">
        <f t="shared" si="14"/>
        <v>0</v>
      </c>
      <c r="AK83" s="321">
        <f t="shared" si="14"/>
        <v>0</v>
      </c>
      <c r="AL83" s="321">
        <f t="shared" si="14"/>
        <v>49389.920000000006</v>
      </c>
      <c r="AM83" s="321">
        <f t="shared" si="14"/>
        <v>0</v>
      </c>
      <c r="AN83" s="321">
        <f t="shared" si="14"/>
        <v>0</v>
      </c>
      <c r="AO83" s="321">
        <f t="shared" si="14"/>
        <v>0</v>
      </c>
      <c r="AP83" s="70">
        <f t="shared" si="21"/>
        <v>49389.920000000006</v>
      </c>
      <c r="AQ83" s="321">
        <f t="shared" si="22"/>
        <v>49389.920000000006</v>
      </c>
      <c r="AR83" s="331">
        <f>+AP83-AQ83</f>
        <v>0</v>
      </c>
    </row>
    <row r="84" spans="1:44" ht="10.5">
      <c r="A84" s="1" t="s">
        <v>535</v>
      </c>
      <c r="B84" s="4">
        <v>7008901</v>
      </c>
      <c r="C84" s="1" t="s">
        <v>268</v>
      </c>
      <c r="D84" s="1" t="s">
        <v>268</v>
      </c>
      <c r="E84" s="338">
        <v>24289</v>
      </c>
      <c r="F84" s="7">
        <v>135</v>
      </c>
      <c r="G84" s="1" t="s">
        <v>784</v>
      </c>
      <c r="H84" s="7">
        <v>108</v>
      </c>
      <c r="I84" s="7">
        <v>0</v>
      </c>
      <c r="J84" s="1" t="s">
        <v>754</v>
      </c>
      <c r="K84" s="1" t="s">
        <v>437</v>
      </c>
      <c r="L84" s="1" t="s">
        <v>745</v>
      </c>
      <c r="M84" s="333" t="s">
        <v>744</v>
      </c>
      <c r="N84" s="332">
        <v>40511</v>
      </c>
      <c r="O84" s="180">
        <v>8521.34</v>
      </c>
      <c r="P84" s="185">
        <v>6357.75</v>
      </c>
      <c r="Q84" s="233">
        <v>5769.21</v>
      </c>
      <c r="R84" s="193">
        <v>7307.71</v>
      </c>
      <c r="S84" s="196">
        <v>3443.78</v>
      </c>
      <c r="T84" s="240">
        <v>2133.25</v>
      </c>
      <c r="U84" s="348">
        <v>2393.4299999999998</v>
      </c>
      <c r="V84" s="212">
        <v>2581.79</v>
      </c>
      <c r="W84" s="350">
        <v>3873.96</v>
      </c>
      <c r="X84" s="220">
        <v>6338.2</v>
      </c>
      <c r="Y84" s="304">
        <v>2289.31</v>
      </c>
      <c r="Z84" s="32"/>
      <c r="AA84" s="8">
        <f t="shared" si="17"/>
        <v>51009.729999999989</v>
      </c>
      <c r="AB84" s="1">
        <f t="shared" si="18"/>
        <v>11</v>
      </c>
      <c r="AC84" s="31">
        <f t="shared" si="19"/>
        <v>4637.2481818181805</v>
      </c>
      <c r="AD84" s="321"/>
      <c r="AE84" s="321">
        <f t="shared" si="16"/>
        <v>0</v>
      </c>
      <c r="AF84" s="321">
        <f t="shared" si="14"/>
        <v>0</v>
      </c>
      <c r="AG84" s="321">
        <f t="shared" si="14"/>
        <v>0</v>
      </c>
      <c r="AH84" s="321">
        <f t="shared" si="14"/>
        <v>0</v>
      </c>
      <c r="AI84" s="321">
        <f t="shared" si="14"/>
        <v>0</v>
      </c>
      <c r="AJ84" s="321">
        <f t="shared" si="14"/>
        <v>33533.039999999994</v>
      </c>
      <c r="AK84" s="321">
        <f t="shared" si="14"/>
        <v>0</v>
      </c>
      <c r="AL84" s="321">
        <f t="shared" si="14"/>
        <v>0</v>
      </c>
      <c r="AM84" s="321">
        <f t="shared" si="14"/>
        <v>0</v>
      </c>
      <c r="AN84" s="321">
        <f t="shared" si="14"/>
        <v>0</v>
      </c>
      <c r="AO84" s="321">
        <f t="shared" si="14"/>
        <v>0</v>
      </c>
      <c r="AP84" s="70">
        <f t="shared" si="21"/>
        <v>33533.039999999994</v>
      </c>
      <c r="AQ84" s="321">
        <f t="shared" si="22"/>
        <v>33533.039999999994</v>
      </c>
      <c r="AR84" s="17"/>
    </row>
    <row r="85" spans="1:44" s="17" customFormat="1" ht="10.5">
      <c r="A85" s="1" t="s">
        <v>662</v>
      </c>
      <c r="B85" s="4">
        <v>7001502</v>
      </c>
      <c r="C85" s="1" t="s">
        <v>650</v>
      </c>
      <c r="D85" s="1" t="s">
        <v>270</v>
      </c>
      <c r="E85" s="7">
        <v>1968</v>
      </c>
      <c r="F85" s="7">
        <v>128</v>
      </c>
      <c r="G85" s="1" t="s">
        <v>785</v>
      </c>
      <c r="H85" s="7">
        <v>145</v>
      </c>
      <c r="I85" s="7">
        <v>10</v>
      </c>
      <c r="J85" s="1" t="s">
        <v>776</v>
      </c>
      <c r="K85" s="1" t="s">
        <v>451</v>
      </c>
      <c r="L85" s="1" t="s">
        <v>745</v>
      </c>
      <c r="M85" s="333" t="s">
        <v>744</v>
      </c>
      <c r="N85" s="332">
        <v>40505</v>
      </c>
      <c r="O85" s="181">
        <v>16071.34</v>
      </c>
      <c r="P85" s="184">
        <f>11704.49+9345.66</f>
        <v>21050.15</v>
      </c>
      <c r="Q85" s="229">
        <v>13069.28</v>
      </c>
      <c r="R85" s="192">
        <v>16351.31</v>
      </c>
      <c r="S85" s="195">
        <v>7829.09</v>
      </c>
      <c r="T85" s="238">
        <v>5929.7</v>
      </c>
      <c r="U85" s="347">
        <v>6987.07</v>
      </c>
      <c r="V85" s="212">
        <v>6976</v>
      </c>
      <c r="W85" s="350">
        <v>11641.11</v>
      </c>
      <c r="X85" s="220">
        <v>14935.71</v>
      </c>
      <c r="Y85" s="304">
        <v>13236.19</v>
      </c>
      <c r="Z85" s="172">
        <v>12578.6</v>
      </c>
      <c r="AA85" s="8">
        <f t="shared" si="17"/>
        <v>146655.55000000002</v>
      </c>
      <c r="AB85" s="1">
        <f t="shared" si="18"/>
        <v>12</v>
      </c>
      <c r="AC85" s="31">
        <f t="shared" si="19"/>
        <v>12221.295833333335</v>
      </c>
      <c r="AD85" s="1"/>
      <c r="AE85" s="321">
        <f t="shared" si="16"/>
        <v>0</v>
      </c>
      <c r="AF85" s="321">
        <f t="shared" si="14"/>
        <v>0</v>
      </c>
      <c r="AG85" s="321">
        <f t="shared" si="14"/>
        <v>0</v>
      </c>
      <c r="AH85" s="321">
        <f t="shared" si="14"/>
        <v>0</v>
      </c>
      <c r="AI85" s="321">
        <f t="shared" si="14"/>
        <v>80300.87</v>
      </c>
      <c r="AJ85" s="321">
        <f t="shared" si="14"/>
        <v>0</v>
      </c>
      <c r="AK85" s="321">
        <f t="shared" si="14"/>
        <v>0</v>
      </c>
      <c r="AL85" s="321">
        <f t="shared" ref="AF85:AO111" si="23">+IF($A85=AL$1,SUM($O85:$T85),0)</f>
        <v>0</v>
      </c>
      <c r="AM85" s="321">
        <f t="shared" si="23"/>
        <v>0</v>
      </c>
      <c r="AN85" s="321">
        <f t="shared" si="23"/>
        <v>0</v>
      </c>
      <c r="AO85" s="321">
        <f t="shared" si="23"/>
        <v>0</v>
      </c>
      <c r="AP85" s="70">
        <f t="shared" si="21"/>
        <v>80300.87</v>
      </c>
      <c r="AQ85" s="321">
        <f t="shared" si="22"/>
        <v>80300.87</v>
      </c>
      <c r="AR85" s="331">
        <f>+AP85-AQ85</f>
        <v>0</v>
      </c>
    </row>
    <row r="86" spans="1:44" s="17" customFormat="1" ht="10.5">
      <c r="A86" s="1" t="s">
        <v>662</v>
      </c>
      <c r="B86" s="4">
        <v>15038477</v>
      </c>
      <c r="C86" s="1" t="s">
        <v>479</v>
      </c>
      <c r="D86" s="1" t="s">
        <v>479</v>
      </c>
      <c r="E86" s="338">
        <v>29312</v>
      </c>
      <c r="F86" s="7"/>
      <c r="G86" s="1" t="s">
        <v>810</v>
      </c>
      <c r="H86" s="7">
        <v>108</v>
      </c>
      <c r="I86" s="7">
        <v>0</v>
      </c>
      <c r="J86" s="1"/>
      <c r="K86" s="1" t="s">
        <v>439</v>
      </c>
      <c r="L86" s="1" t="s">
        <v>745</v>
      </c>
      <c r="M86" s="333" t="s">
        <v>744</v>
      </c>
      <c r="N86" s="332">
        <v>40505</v>
      </c>
      <c r="O86" s="180">
        <v>11430.27</v>
      </c>
      <c r="P86" s="185">
        <v>9973.0300000000007</v>
      </c>
      <c r="Q86" s="233">
        <v>10310.19</v>
      </c>
      <c r="R86" s="193">
        <v>13251.13</v>
      </c>
      <c r="S86" s="196">
        <v>8619.7900000000009</v>
      </c>
      <c r="T86" s="240">
        <v>7055.31</v>
      </c>
      <c r="U86" s="348">
        <v>7166.55</v>
      </c>
      <c r="V86" s="211">
        <v>8073.46</v>
      </c>
      <c r="W86" s="350">
        <v>9594.77</v>
      </c>
      <c r="X86" s="220">
        <v>10592.01</v>
      </c>
      <c r="Y86" s="304">
        <v>11179.63</v>
      </c>
      <c r="Z86" s="172">
        <v>9193.7800000000007</v>
      </c>
      <c r="AA86" s="8">
        <f t="shared" si="17"/>
        <v>116439.92000000001</v>
      </c>
      <c r="AB86" s="1">
        <f t="shared" si="18"/>
        <v>12</v>
      </c>
      <c r="AC86" s="31">
        <f t="shared" si="19"/>
        <v>9703.3266666666677</v>
      </c>
      <c r="AD86" s="321"/>
      <c r="AE86" s="321">
        <f t="shared" si="16"/>
        <v>0</v>
      </c>
      <c r="AF86" s="321">
        <f t="shared" si="23"/>
        <v>0</v>
      </c>
      <c r="AG86" s="321">
        <f t="shared" si="23"/>
        <v>0</v>
      </c>
      <c r="AH86" s="321">
        <f t="shared" si="23"/>
        <v>0</v>
      </c>
      <c r="AI86" s="321">
        <f t="shared" si="23"/>
        <v>60639.72</v>
      </c>
      <c r="AJ86" s="321">
        <f t="shared" si="23"/>
        <v>0</v>
      </c>
      <c r="AK86" s="321">
        <f t="shared" si="23"/>
        <v>0</v>
      </c>
      <c r="AL86" s="321">
        <f t="shared" si="23"/>
        <v>0</v>
      </c>
      <c r="AM86" s="321">
        <f t="shared" si="23"/>
        <v>0</v>
      </c>
      <c r="AN86" s="321">
        <f t="shared" si="23"/>
        <v>0</v>
      </c>
      <c r="AO86" s="321">
        <f t="shared" si="23"/>
        <v>0</v>
      </c>
      <c r="AP86" s="70">
        <f t="shared" si="21"/>
        <v>60639.72</v>
      </c>
      <c r="AQ86" s="321">
        <f t="shared" si="22"/>
        <v>60639.72</v>
      </c>
    </row>
    <row r="87" spans="1:44" s="17" customFormat="1" ht="10.5">
      <c r="A87" s="1" t="s">
        <v>658</v>
      </c>
      <c r="B87" s="4">
        <v>15051247</v>
      </c>
      <c r="C87" s="1" t="s">
        <v>480</v>
      </c>
      <c r="D87" s="1" t="s">
        <v>480</v>
      </c>
      <c r="E87" s="338">
        <v>32203</v>
      </c>
      <c r="F87" s="7"/>
      <c r="G87" s="1" t="s">
        <v>812</v>
      </c>
      <c r="H87" s="7">
        <v>117</v>
      </c>
      <c r="I87" s="7">
        <v>1</v>
      </c>
      <c r="J87" s="1"/>
      <c r="K87" s="1" t="s">
        <v>811</v>
      </c>
      <c r="L87" s="1" t="s">
        <v>745</v>
      </c>
      <c r="M87" s="333" t="s">
        <v>744</v>
      </c>
      <c r="N87" s="332">
        <v>40503</v>
      </c>
      <c r="O87" s="180">
        <v>13752.31</v>
      </c>
      <c r="P87" s="185">
        <v>12354.32</v>
      </c>
      <c r="Q87" s="233">
        <v>12866.53</v>
      </c>
      <c r="R87" s="193">
        <v>14985.72</v>
      </c>
      <c r="S87" s="196">
        <v>11006.26</v>
      </c>
      <c r="T87" s="240">
        <v>9662.0400000000009</v>
      </c>
      <c r="U87" s="347">
        <v>9670.59</v>
      </c>
      <c r="V87" s="211">
        <v>8932.02</v>
      </c>
      <c r="W87" s="350">
        <v>12828.58</v>
      </c>
      <c r="X87" s="220">
        <v>13859.67</v>
      </c>
      <c r="Y87" s="304">
        <v>13474.67</v>
      </c>
      <c r="Z87" s="172">
        <v>12400.61</v>
      </c>
      <c r="AA87" s="8">
        <f t="shared" si="17"/>
        <v>145793.32</v>
      </c>
      <c r="AB87" s="1">
        <f t="shared" si="18"/>
        <v>12</v>
      </c>
      <c r="AC87" s="31">
        <f t="shared" si="19"/>
        <v>12149.443333333335</v>
      </c>
      <c r="AD87" s="1"/>
      <c r="AE87" s="321">
        <f t="shared" si="16"/>
        <v>0</v>
      </c>
      <c r="AF87" s="321">
        <f t="shared" si="23"/>
        <v>0</v>
      </c>
      <c r="AG87" s="321">
        <f t="shared" si="23"/>
        <v>0</v>
      </c>
      <c r="AH87" s="321">
        <f t="shared" si="23"/>
        <v>0</v>
      </c>
      <c r="AI87" s="321">
        <f t="shared" si="23"/>
        <v>0</v>
      </c>
      <c r="AJ87" s="321">
        <f t="shared" si="23"/>
        <v>0</v>
      </c>
      <c r="AK87" s="321">
        <f t="shared" si="23"/>
        <v>0</v>
      </c>
      <c r="AL87" s="321">
        <f t="shared" si="23"/>
        <v>0</v>
      </c>
      <c r="AM87" s="321">
        <f t="shared" si="23"/>
        <v>74627.179999999993</v>
      </c>
      <c r="AN87" s="321">
        <f t="shared" si="23"/>
        <v>0</v>
      </c>
      <c r="AO87" s="321">
        <f t="shared" si="23"/>
        <v>0</v>
      </c>
      <c r="AP87" s="70">
        <f t="shared" si="21"/>
        <v>74627.179999999993</v>
      </c>
      <c r="AQ87" s="321">
        <f t="shared" si="22"/>
        <v>74627.179999999993</v>
      </c>
      <c r="AR87" s="331">
        <f t="shared" ref="AR87:AR95" si="24">+AP87-AQ87</f>
        <v>0</v>
      </c>
    </row>
    <row r="88" spans="1:44" s="17" customFormat="1" ht="10.5">
      <c r="A88" s="1" t="s">
        <v>705</v>
      </c>
      <c r="B88" s="42">
        <v>15012310</v>
      </c>
      <c r="C88" s="11" t="s">
        <v>603</v>
      </c>
      <c r="D88" s="11" t="s">
        <v>684</v>
      </c>
      <c r="E88" s="11"/>
      <c r="F88" s="340"/>
      <c r="G88" s="11"/>
      <c r="H88" s="11">
        <v>1</v>
      </c>
      <c r="I88" s="11"/>
      <c r="J88" s="11"/>
      <c r="K88" s="11"/>
      <c r="L88" s="11"/>
      <c r="M88" s="11"/>
      <c r="N88" s="11"/>
      <c r="O88" s="136"/>
      <c r="P88" s="136"/>
      <c r="Q88" s="136"/>
      <c r="R88" s="192">
        <v>457.6</v>
      </c>
      <c r="S88" s="32"/>
      <c r="T88" s="32"/>
      <c r="U88" s="32"/>
      <c r="V88" s="212">
        <v>34.42</v>
      </c>
      <c r="W88" s="220">
        <v>23.55</v>
      </c>
      <c r="X88" s="220">
        <v>264.11</v>
      </c>
      <c r="Y88" s="304">
        <v>416.33</v>
      </c>
      <c r="Z88" s="32"/>
      <c r="AA88" s="8">
        <f t="shared" si="17"/>
        <v>1196.01</v>
      </c>
      <c r="AB88" s="1">
        <f t="shared" si="18"/>
        <v>5</v>
      </c>
      <c r="AC88" s="31">
        <f t="shared" si="19"/>
        <v>239.202</v>
      </c>
      <c r="AD88" s="1"/>
      <c r="AE88" s="321">
        <f t="shared" si="16"/>
        <v>0</v>
      </c>
      <c r="AF88" s="321">
        <f t="shared" si="23"/>
        <v>0</v>
      </c>
      <c r="AG88" s="321">
        <f t="shared" si="23"/>
        <v>0</v>
      </c>
      <c r="AH88" s="321">
        <f t="shared" si="23"/>
        <v>0</v>
      </c>
      <c r="AI88" s="321">
        <f t="shared" si="23"/>
        <v>0</v>
      </c>
      <c r="AJ88" s="321">
        <f t="shared" si="23"/>
        <v>0</v>
      </c>
      <c r="AK88" s="321">
        <f t="shared" si="23"/>
        <v>0</v>
      </c>
      <c r="AL88" s="321">
        <f t="shared" si="23"/>
        <v>0</v>
      </c>
      <c r="AM88" s="321">
        <f t="shared" si="23"/>
        <v>0</v>
      </c>
      <c r="AN88" s="321">
        <f t="shared" si="23"/>
        <v>0</v>
      </c>
      <c r="AO88" s="321">
        <f t="shared" si="23"/>
        <v>457.6</v>
      </c>
      <c r="AP88" s="70">
        <f t="shared" si="21"/>
        <v>457.6</v>
      </c>
      <c r="AQ88" s="321">
        <f t="shared" si="22"/>
        <v>457.6</v>
      </c>
      <c r="AR88" s="331">
        <f t="shared" si="24"/>
        <v>0</v>
      </c>
    </row>
    <row r="89" spans="1:44" ht="10.5">
      <c r="A89" s="1" t="s">
        <v>705</v>
      </c>
      <c r="B89" s="42">
        <v>15051241</v>
      </c>
      <c r="C89" s="11" t="s">
        <v>603</v>
      </c>
      <c r="D89" s="11" t="s">
        <v>685</v>
      </c>
      <c r="E89" s="11"/>
      <c r="F89" s="340"/>
      <c r="G89" s="11"/>
      <c r="H89" s="11">
        <v>1</v>
      </c>
      <c r="I89" s="11"/>
      <c r="J89" s="11"/>
      <c r="K89" s="11"/>
      <c r="L89" s="11"/>
      <c r="M89" s="11"/>
      <c r="N89" s="11"/>
      <c r="O89" s="181">
        <v>165.41</v>
      </c>
      <c r="P89" s="184">
        <v>125.8</v>
      </c>
      <c r="Q89" s="229">
        <v>152.66999999999999</v>
      </c>
      <c r="R89" s="192">
        <v>68</v>
      </c>
      <c r="S89" s="238">
        <v>11.47</v>
      </c>
      <c r="T89" s="238">
        <v>108.46</v>
      </c>
      <c r="U89" s="32"/>
      <c r="V89" s="32"/>
      <c r="W89" s="32"/>
      <c r="X89" s="32"/>
      <c r="Y89" s="32"/>
      <c r="Z89" s="32"/>
      <c r="AA89" s="8">
        <f t="shared" si="17"/>
        <v>631.81000000000006</v>
      </c>
      <c r="AB89" s="1">
        <f t="shared" si="18"/>
        <v>6</v>
      </c>
      <c r="AC89" s="31">
        <f t="shared" si="19"/>
        <v>105.30166666666668</v>
      </c>
      <c r="AE89" s="321">
        <f t="shared" si="16"/>
        <v>0</v>
      </c>
      <c r="AF89" s="321">
        <f t="shared" si="23"/>
        <v>0</v>
      </c>
      <c r="AG89" s="321">
        <f t="shared" si="23"/>
        <v>0</v>
      </c>
      <c r="AH89" s="321">
        <f t="shared" si="23"/>
        <v>0</v>
      </c>
      <c r="AI89" s="321">
        <f t="shared" si="23"/>
        <v>0</v>
      </c>
      <c r="AJ89" s="321">
        <f t="shared" si="23"/>
        <v>0</v>
      </c>
      <c r="AK89" s="321">
        <f t="shared" si="23"/>
        <v>0</v>
      </c>
      <c r="AL89" s="321">
        <f t="shared" si="23"/>
        <v>0</v>
      </c>
      <c r="AM89" s="321">
        <f t="shared" si="23"/>
        <v>0</v>
      </c>
      <c r="AN89" s="321">
        <f t="shared" si="23"/>
        <v>0</v>
      </c>
      <c r="AO89" s="321">
        <f t="shared" si="23"/>
        <v>631.81000000000006</v>
      </c>
      <c r="AP89" s="70">
        <f t="shared" si="21"/>
        <v>631.81000000000006</v>
      </c>
      <c r="AQ89" s="321">
        <f t="shared" si="22"/>
        <v>631.81000000000006</v>
      </c>
      <c r="AR89" s="331">
        <f t="shared" si="24"/>
        <v>0</v>
      </c>
    </row>
    <row r="90" spans="1:44" ht="10.5">
      <c r="A90" s="1" t="s">
        <v>705</v>
      </c>
      <c r="B90" s="42">
        <v>15051369</v>
      </c>
      <c r="C90" s="11" t="s">
        <v>603</v>
      </c>
      <c r="D90" s="11" t="s">
        <v>686</v>
      </c>
      <c r="E90" s="11"/>
      <c r="F90" s="340"/>
      <c r="G90" s="11"/>
      <c r="H90" s="11">
        <v>1</v>
      </c>
      <c r="I90" s="11"/>
      <c r="J90" s="11"/>
      <c r="K90" s="11"/>
      <c r="L90" s="11"/>
      <c r="M90" s="11"/>
      <c r="N90" s="11"/>
      <c r="O90" s="180">
        <v>381.3</v>
      </c>
      <c r="P90" s="185">
        <v>139.16</v>
      </c>
      <c r="Q90" s="233">
        <v>298.76</v>
      </c>
      <c r="R90" s="193">
        <v>515.22</v>
      </c>
      <c r="S90" s="240">
        <v>113.9</v>
      </c>
      <c r="T90" s="240">
        <v>177.94</v>
      </c>
      <c r="U90" s="136"/>
      <c r="V90" s="136"/>
      <c r="W90" s="32"/>
      <c r="X90" s="32"/>
      <c r="Y90" s="32"/>
      <c r="Z90" s="32"/>
      <c r="AA90" s="8">
        <f t="shared" si="17"/>
        <v>1626.2800000000002</v>
      </c>
      <c r="AB90" s="1">
        <f t="shared" si="18"/>
        <v>6</v>
      </c>
      <c r="AC90" s="31">
        <f t="shared" si="19"/>
        <v>271.04666666666668</v>
      </c>
      <c r="AE90" s="321">
        <f t="shared" si="16"/>
        <v>0</v>
      </c>
      <c r="AF90" s="321">
        <f t="shared" si="23"/>
        <v>0</v>
      </c>
      <c r="AG90" s="321">
        <f t="shared" si="23"/>
        <v>0</v>
      </c>
      <c r="AH90" s="321">
        <f t="shared" si="23"/>
        <v>0</v>
      </c>
      <c r="AI90" s="321">
        <f t="shared" si="23"/>
        <v>0</v>
      </c>
      <c r="AJ90" s="321">
        <f t="shared" si="23"/>
        <v>0</v>
      </c>
      <c r="AK90" s="321">
        <f t="shared" si="23"/>
        <v>0</v>
      </c>
      <c r="AL90" s="321">
        <f t="shared" si="23"/>
        <v>0</v>
      </c>
      <c r="AM90" s="321">
        <f t="shared" si="23"/>
        <v>0</v>
      </c>
      <c r="AN90" s="321">
        <f t="shared" si="23"/>
        <v>0</v>
      </c>
      <c r="AO90" s="321">
        <f t="shared" si="23"/>
        <v>1626.2800000000002</v>
      </c>
      <c r="AP90" s="70">
        <f t="shared" si="21"/>
        <v>1626.2800000000002</v>
      </c>
      <c r="AQ90" s="321">
        <f t="shared" si="22"/>
        <v>1626.2800000000002</v>
      </c>
      <c r="AR90" s="331">
        <f t="shared" si="24"/>
        <v>0</v>
      </c>
    </row>
    <row r="91" spans="1:44" ht="10.5">
      <c r="A91" s="1" t="s">
        <v>530</v>
      </c>
      <c r="B91" s="4">
        <v>15051245</v>
      </c>
      <c r="C91" s="1" t="s">
        <v>630</v>
      </c>
      <c r="D91" s="1" t="s">
        <v>630</v>
      </c>
      <c r="E91" s="338">
        <v>37712</v>
      </c>
      <c r="G91" s="1" t="s">
        <v>789</v>
      </c>
      <c r="H91" s="7">
        <v>91</v>
      </c>
      <c r="I91" s="7"/>
      <c r="J91" s="1" t="s">
        <v>765</v>
      </c>
      <c r="K91" s="1" t="s">
        <v>442</v>
      </c>
      <c r="L91" s="1" t="s">
        <v>745</v>
      </c>
      <c r="M91" s="333" t="s">
        <v>744</v>
      </c>
      <c r="N91" s="332">
        <v>40509</v>
      </c>
      <c r="O91" s="181">
        <v>27132.51</v>
      </c>
      <c r="P91" s="184">
        <v>24998.84</v>
      </c>
      <c r="Q91" s="229">
        <v>22507.919999999998</v>
      </c>
      <c r="R91" s="192">
        <v>28465.4</v>
      </c>
      <c r="S91" s="238">
        <v>22286.49</v>
      </c>
      <c r="T91" s="238">
        <v>17055.759999999998</v>
      </c>
      <c r="U91" s="347">
        <v>16258.46</v>
      </c>
      <c r="V91" s="212">
        <v>17731.599999999999</v>
      </c>
      <c r="W91" s="350">
        <v>19063.8</v>
      </c>
      <c r="X91" s="220">
        <v>25063.7</v>
      </c>
      <c r="Y91" s="304">
        <v>24366.1</v>
      </c>
      <c r="Z91" s="172">
        <v>24632.92</v>
      </c>
      <c r="AA91" s="8">
        <f t="shared" si="17"/>
        <v>269563.5</v>
      </c>
      <c r="AB91" s="1">
        <f t="shared" si="18"/>
        <v>12</v>
      </c>
      <c r="AC91" s="31">
        <f t="shared" si="19"/>
        <v>22463.625</v>
      </c>
      <c r="AE91" s="321">
        <f t="shared" si="16"/>
        <v>0</v>
      </c>
      <c r="AF91" s="321">
        <f t="shared" si="23"/>
        <v>0</v>
      </c>
      <c r="AG91" s="321">
        <f t="shared" si="23"/>
        <v>0</v>
      </c>
      <c r="AH91" s="321">
        <f t="shared" si="23"/>
        <v>142446.91999999998</v>
      </c>
      <c r="AI91" s="321">
        <f t="shared" si="23"/>
        <v>0</v>
      </c>
      <c r="AJ91" s="321">
        <f t="shared" si="23"/>
        <v>0</v>
      </c>
      <c r="AK91" s="321">
        <f t="shared" si="23"/>
        <v>0</v>
      </c>
      <c r="AL91" s="321">
        <f t="shared" si="23"/>
        <v>0</v>
      </c>
      <c r="AM91" s="321">
        <f t="shared" si="23"/>
        <v>0</v>
      </c>
      <c r="AN91" s="321">
        <f t="shared" si="23"/>
        <v>0</v>
      </c>
      <c r="AO91" s="321">
        <f t="shared" si="23"/>
        <v>0</v>
      </c>
      <c r="AP91" s="70">
        <f t="shared" si="21"/>
        <v>142446.91999999998</v>
      </c>
      <c r="AQ91" s="321">
        <f t="shared" si="22"/>
        <v>142446.91999999998</v>
      </c>
      <c r="AR91" s="331">
        <f t="shared" si="24"/>
        <v>0</v>
      </c>
    </row>
    <row r="92" spans="1:44" ht="10.5">
      <c r="A92" s="1" t="s">
        <v>535</v>
      </c>
      <c r="B92" s="4">
        <v>7004001</v>
      </c>
      <c r="C92" s="1" t="s">
        <v>631</v>
      </c>
      <c r="D92" s="1" t="s">
        <v>731</v>
      </c>
      <c r="E92" s="7">
        <v>1985</v>
      </c>
      <c r="F92" s="7">
        <v>116</v>
      </c>
      <c r="G92" s="1" t="s">
        <v>787</v>
      </c>
      <c r="H92" s="7">
        <v>80</v>
      </c>
      <c r="I92" s="7">
        <v>0</v>
      </c>
      <c r="J92" s="1" t="s">
        <v>765</v>
      </c>
      <c r="K92" s="1" t="s">
        <v>786</v>
      </c>
      <c r="L92" s="1" t="s">
        <v>745</v>
      </c>
      <c r="M92" s="333" t="s">
        <v>744</v>
      </c>
      <c r="N92" s="332">
        <v>40511</v>
      </c>
      <c r="O92" s="181">
        <v>19873.400000000001</v>
      </c>
      <c r="P92" s="184">
        <v>19843.48</v>
      </c>
      <c r="Q92" s="229">
        <v>17082.36</v>
      </c>
      <c r="R92" s="192">
        <v>22608.43</v>
      </c>
      <c r="S92" s="195">
        <v>15278.1</v>
      </c>
      <c r="T92" s="238">
        <v>9613.3799999999992</v>
      </c>
      <c r="U92" s="347">
        <v>15085.58</v>
      </c>
      <c r="V92" s="212">
        <v>13468.39</v>
      </c>
      <c r="W92" s="350">
        <v>18790.48</v>
      </c>
      <c r="X92" s="304">
        <v>21142.92</v>
      </c>
      <c r="Y92" s="304">
        <v>22276.89</v>
      </c>
      <c r="Z92" s="172">
        <v>21036.07</v>
      </c>
      <c r="AA92" s="8">
        <f t="shared" si="17"/>
        <v>216099.48000000004</v>
      </c>
      <c r="AB92" s="1">
        <f t="shared" si="18"/>
        <v>12</v>
      </c>
      <c r="AC92" s="31">
        <f t="shared" si="19"/>
        <v>18008.290000000005</v>
      </c>
      <c r="AE92" s="321">
        <f t="shared" si="16"/>
        <v>0</v>
      </c>
      <c r="AF92" s="321">
        <f t="shared" si="23"/>
        <v>0</v>
      </c>
      <c r="AG92" s="321">
        <f t="shared" si="23"/>
        <v>0</v>
      </c>
      <c r="AH92" s="321">
        <f t="shared" si="23"/>
        <v>0</v>
      </c>
      <c r="AI92" s="321">
        <f t="shared" si="23"/>
        <v>0</v>
      </c>
      <c r="AJ92" s="321">
        <f t="shared" si="23"/>
        <v>104299.15000000002</v>
      </c>
      <c r="AK92" s="321">
        <f t="shared" si="23"/>
        <v>0</v>
      </c>
      <c r="AL92" s="321">
        <f t="shared" si="23"/>
        <v>0</v>
      </c>
      <c r="AM92" s="321">
        <f t="shared" si="23"/>
        <v>0</v>
      </c>
      <c r="AN92" s="321">
        <f t="shared" si="23"/>
        <v>0</v>
      </c>
      <c r="AO92" s="321">
        <f t="shared" si="23"/>
        <v>0</v>
      </c>
      <c r="AP92" s="70">
        <f t="shared" si="21"/>
        <v>104299.15000000002</v>
      </c>
      <c r="AQ92" s="321">
        <f t="shared" si="22"/>
        <v>104299.15000000002</v>
      </c>
      <c r="AR92" s="331">
        <f t="shared" si="24"/>
        <v>0</v>
      </c>
    </row>
    <row r="93" spans="1:44" ht="10.5">
      <c r="A93" s="1" t="s">
        <v>537</v>
      </c>
      <c r="B93" s="4">
        <v>15036831</v>
      </c>
      <c r="C93" s="1" t="s">
        <v>364</v>
      </c>
      <c r="D93" s="1" t="s">
        <v>364</v>
      </c>
      <c r="E93" s="7">
        <v>2010</v>
      </c>
      <c r="G93" s="1" t="s">
        <v>788</v>
      </c>
      <c r="H93" s="7">
        <v>104</v>
      </c>
      <c r="I93" s="7">
        <v>1</v>
      </c>
      <c r="J93" s="1" t="s">
        <v>765</v>
      </c>
      <c r="K93" s="1" t="s">
        <v>441</v>
      </c>
      <c r="L93" s="1" t="s">
        <v>745</v>
      </c>
      <c r="M93" s="333" t="s">
        <v>744</v>
      </c>
      <c r="N93" s="332">
        <v>40513</v>
      </c>
      <c r="O93" s="181">
        <v>30939.7</v>
      </c>
      <c r="P93" s="184">
        <v>29425.15</v>
      </c>
      <c r="Q93" s="229">
        <v>28667.17</v>
      </c>
      <c r="R93" s="192">
        <v>34655.160000000003</v>
      </c>
      <c r="S93" s="238">
        <v>25730.49</v>
      </c>
      <c r="T93" s="238">
        <v>15739.97</v>
      </c>
      <c r="U93" s="347">
        <v>17888.47</v>
      </c>
      <c r="V93" s="212">
        <v>15152.83</v>
      </c>
      <c r="W93" s="350">
        <v>23254.32</v>
      </c>
      <c r="X93" s="220">
        <v>34929.93</v>
      </c>
      <c r="Y93" s="304">
        <v>29947.23</v>
      </c>
      <c r="Z93" s="172">
        <v>29030.05</v>
      </c>
      <c r="AA93" s="8">
        <f t="shared" si="17"/>
        <v>315360.46999999997</v>
      </c>
      <c r="AB93" s="1">
        <f t="shared" si="18"/>
        <v>12</v>
      </c>
      <c r="AC93" s="31">
        <f t="shared" si="19"/>
        <v>26280.039166666666</v>
      </c>
      <c r="AE93" s="321">
        <f t="shared" si="16"/>
        <v>0</v>
      </c>
      <c r="AF93" s="321">
        <f t="shared" si="23"/>
        <v>165157.64000000001</v>
      </c>
      <c r="AG93" s="321">
        <f t="shared" si="23"/>
        <v>0</v>
      </c>
      <c r="AH93" s="321">
        <f t="shared" si="23"/>
        <v>0</v>
      </c>
      <c r="AI93" s="321">
        <f t="shared" si="23"/>
        <v>0</v>
      </c>
      <c r="AJ93" s="321">
        <f t="shared" si="23"/>
        <v>0</v>
      </c>
      <c r="AK93" s="321">
        <f t="shared" si="23"/>
        <v>0</v>
      </c>
      <c r="AL93" s="321">
        <f t="shared" si="23"/>
        <v>0</v>
      </c>
      <c r="AM93" s="321">
        <f t="shared" si="23"/>
        <v>0</v>
      </c>
      <c r="AN93" s="321">
        <f t="shared" si="23"/>
        <v>0</v>
      </c>
      <c r="AO93" s="321">
        <f t="shared" si="23"/>
        <v>0</v>
      </c>
      <c r="AP93" s="70">
        <f t="shared" si="21"/>
        <v>165157.64000000001</v>
      </c>
      <c r="AQ93" s="321">
        <f t="shared" si="22"/>
        <v>165157.64000000001</v>
      </c>
      <c r="AR93" s="331">
        <f t="shared" si="24"/>
        <v>0</v>
      </c>
    </row>
    <row r="94" spans="1:44" ht="10.5">
      <c r="A94" s="1" t="s">
        <v>705</v>
      </c>
      <c r="B94" s="42">
        <v>3555200</v>
      </c>
      <c r="C94" s="11" t="s">
        <v>735</v>
      </c>
      <c r="D94" s="11" t="s">
        <v>735</v>
      </c>
      <c r="E94" s="11"/>
      <c r="F94" s="340"/>
      <c r="G94" s="11"/>
      <c r="H94" s="11">
        <v>1</v>
      </c>
      <c r="I94" s="11"/>
      <c r="J94" s="11"/>
      <c r="K94" s="11"/>
      <c r="L94" s="11"/>
      <c r="M94" s="11"/>
      <c r="N94" s="11"/>
      <c r="O94" s="229">
        <v>555.51</v>
      </c>
      <c r="P94" s="229">
        <v>648.76</v>
      </c>
      <c r="Q94" s="229">
        <v>412.76</v>
      </c>
      <c r="R94" s="192">
        <v>593.30999999999995</v>
      </c>
      <c r="S94" s="195">
        <v>276.08</v>
      </c>
      <c r="T94" s="238">
        <v>327.17</v>
      </c>
      <c r="U94" s="32"/>
      <c r="V94" s="32"/>
      <c r="W94" s="32"/>
      <c r="X94" s="32"/>
      <c r="Y94" s="32"/>
      <c r="Z94" s="32"/>
      <c r="AA94" s="8">
        <f t="shared" si="17"/>
        <v>2813.59</v>
      </c>
      <c r="AB94" s="1">
        <f t="shared" si="18"/>
        <v>6</v>
      </c>
      <c r="AC94" s="31">
        <f t="shared" si="19"/>
        <v>468.93166666666667</v>
      </c>
      <c r="AE94" s="321">
        <f t="shared" si="16"/>
        <v>0</v>
      </c>
      <c r="AF94" s="321">
        <f t="shared" si="23"/>
        <v>0</v>
      </c>
      <c r="AG94" s="321">
        <f t="shared" si="23"/>
        <v>0</v>
      </c>
      <c r="AH94" s="321">
        <f t="shared" si="23"/>
        <v>0</v>
      </c>
      <c r="AI94" s="321">
        <f t="shared" si="23"/>
        <v>0</v>
      </c>
      <c r="AJ94" s="321">
        <f t="shared" si="23"/>
        <v>0</v>
      </c>
      <c r="AK94" s="321">
        <f t="shared" si="23"/>
        <v>0</v>
      </c>
      <c r="AL94" s="321">
        <f t="shared" si="23"/>
        <v>0</v>
      </c>
      <c r="AM94" s="321">
        <f t="shared" si="23"/>
        <v>0</v>
      </c>
      <c r="AN94" s="321">
        <f t="shared" si="23"/>
        <v>0</v>
      </c>
      <c r="AO94" s="321">
        <f t="shared" si="23"/>
        <v>2813.59</v>
      </c>
      <c r="AP94" s="70">
        <f t="shared" si="21"/>
        <v>2813.59</v>
      </c>
      <c r="AQ94" s="321">
        <f t="shared" si="22"/>
        <v>2813.59</v>
      </c>
      <c r="AR94" s="331">
        <f t="shared" si="24"/>
        <v>0</v>
      </c>
    </row>
    <row r="95" spans="1:44" ht="10.5">
      <c r="A95" s="1" t="s">
        <v>705</v>
      </c>
      <c r="B95" s="42">
        <v>12978700</v>
      </c>
      <c r="C95" s="11" t="s">
        <v>696</v>
      </c>
      <c r="D95" s="11" t="s">
        <v>696</v>
      </c>
      <c r="E95" s="11"/>
      <c r="F95" s="340"/>
      <c r="G95" s="11"/>
      <c r="H95" s="11">
        <v>1</v>
      </c>
      <c r="I95" s="11"/>
      <c r="J95" s="11"/>
      <c r="K95" s="11"/>
      <c r="L95" s="11"/>
      <c r="M95" s="11"/>
      <c r="N95" s="11"/>
      <c r="O95" s="181">
        <v>335.71</v>
      </c>
      <c r="P95" s="184">
        <v>143</v>
      </c>
      <c r="Q95" s="229">
        <v>188.04</v>
      </c>
      <c r="R95" s="32"/>
      <c r="S95" s="195">
        <v>173.83</v>
      </c>
      <c r="T95" s="32"/>
      <c r="U95" s="32"/>
      <c r="V95" s="32"/>
      <c r="W95" s="32"/>
      <c r="X95" s="32"/>
      <c r="Y95" s="32"/>
      <c r="Z95" s="32"/>
      <c r="AA95" s="8">
        <f t="shared" si="17"/>
        <v>840.58</v>
      </c>
      <c r="AB95" s="1">
        <f t="shared" si="18"/>
        <v>4</v>
      </c>
      <c r="AC95" s="31">
        <f t="shared" si="19"/>
        <v>210.14500000000001</v>
      </c>
      <c r="AE95" s="321">
        <f t="shared" si="16"/>
        <v>0</v>
      </c>
      <c r="AF95" s="321">
        <f t="shared" si="23"/>
        <v>0</v>
      </c>
      <c r="AG95" s="321">
        <f t="shared" si="23"/>
        <v>0</v>
      </c>
      <c r="AH95" s="321">
        <f t="shared" si="23"/>
        <v>0</v>
      </c>
      <c r="AI95" s="321">
        <f t="shared" si="23"/>
        <v>0</v>
      </c>
      <c r="AJ95" s="321">
        <f t="shared" si="23"/>
        <v>0</v>
      </c>
      <c r="AK95" s="321">
        <f t="shared" si="23"/>
        <v>0</v>
      </c>
      <c r="AL95" s="321">
        <f t="shared" si="23"/>
        <v>0</v>
      </c>
      <c r="AM95" s="321">
        <f t="shared" si="23"/>
        <v>0</v>
      </c>
      <c r="AN95" s="321">
        <f t="shared" si="23"/>
        <v>0</v>
      </c>
      <c r="AO95" s="321">
        <f t="shared" si="23"/>
        <v>840.58</v>
      </c>
      <c r="AP95" s="70">
        <f t="shared" si="21"/>
        <v>840.58</v>
      </c>
      <c r="AQ95" s="321">
        <f t="shared" si="22"/>
        <v>840.58</v>
      </c>
      <c r="AR95" s="331">
        <f t="shared" si="24"/>
        <v>0</v>
      </c>
    </row>
    <row r="96" spans="1:44" ht="10.5">
      <c r="A96" s="1" t="s">
        <v>530</v>
      </c>
      <c r="B96" s="42">
        <v>15035622</v>
      </c>
      <c r="C96" s="11" t="s">
        <v>634</v>
      </c>
      <c r="D96" s="11" t="s">
        <v>280</v>
      </c>
      <c r="E96" s="338">
        <v>36251</v>
      </c>
      <c r="F96" s="340"/>
      <c r="G96" s="1" t="s">
        <v>280</v>
      </c>
      <c r="H96" s="7">
        <v>108</v>
      </c>
      <c r="I96" s="7">
        <v>1</v>
      </c>
      <c r="J96" s="1" t="s">
        <v>754</v>
      </c>
      <c r="K96" s="1" t="s">
        <v>443</v>
      </c>
      <c r="L96" s="1" t="s">
        <v>745</v>
      </c>
      <c r="M96" s="333" t="s">
        <v>744</v>
      </c>
      <c r="N96" s="332">
        <v>40509</v>
      </c>
      <c r="O96" s="181">
        <v>15330.82</v>
      </c>
      <c r="P96" s="184">
        <v>10612.69</v>
      </c>
      <c r="Q96" s="229">
        <v>11095.61</v>
      </c>
      <c r="R96" s="192"/>
      <c r="S96" s="195"/>
      <c r="T96" s="238"/>
      <c r="U96" s="306"/>
      <c r="V96" s="212"/>
      <c r="W96" s="350"/>
      <c r="X96" s="220"/>
      <c r="Y96" s="304"/>
      <c r="Z96" s="172"/>
      <c r="AA96" s="8">
        <f t="shared" si="17"/>
        <v>37039.120000000003</v>
      </c>
      <c r="AB96" s="1">
        <f t="shared" si="18"/>
        <v>3</v>
      </c>
      <c r="AC96" s="31">
        <f t="shared" si="19"/>
        <v>12346.373333333335</v>
      </c>
      <c r="AD96" s="321"/>
      <c r="AE96" s="321">
        <f t="shared" si="16"/>
        <v>0</v>
      </c>
      <c r="AF96" s="321">
        <f t="shared" si="23"/>
        <v>0</v>
      </c>
      <c r="AG96" s="321">
        <f t="shared" si="23"/>
        <v>0</v>
      </c>
      <c r="AH96" s="321">
        <f t="shared" si="23"/>
        <v>37039.120000000003</v>
      </c>
      <c r="AI96" s="321">
        <f t="shared" si="23"/>
        <v>0</v>
      </c>
      <c r="AJ96" s="321">
        <f t="shared" si="23"/>
        <v>0</v>
      </c>
      <c r="AK96" s="321">
        <f t="shared" si="23"/>
        <v>0</v>
      </c>
      <c r="AL96" s="321">
        <f t="shared" si="23"/>
        <v>0</v>
      </c>
      <c r="AM96" s="321">
        <f t="shared" si="23"/>
        <v>0</v>
      </c>
      <c r="AN96" s="321">
        <f t="shared" si="23"/>
        <v>0</v>
      </c>
      <c r="AO96" s="321">
        <f t="shared" si="23"/>
        <v>0</v>
      </c>
      <c r="AP96" s="70">
        <f t="shared" si="21"/>
        <v>37039.120000000003</v>
      </c>
      <c r="AQ96" s="321">
        <f t="shared" si="22"/>
        <v>37039.120000000003</v>
      </c>
      <c r="AR96" s="17"/>
    </row>
    <row r="97" spans="1:44" ht="10.5">
      <c r="A97" s="1" t="s">
        <v>530</v>
      </c>
      <c r="B97" s="42">
        <v>15059439</v>
      </c>
      <c r="C97" s="11" t="s">
        <v>843</v>
      </c>
      <c r="D97" s="11" t="s">
        <v>280</v>
      </c>
      <c r="E97" s="338"/>
      <c r="F97" s="340"/>
      <c r="H97" s="7"/>
      <c r="I97" s="7"/>
      <c r="K97" s="1" t="s">
        <v>443</v>
      </c>
      <c r="L97" s="1" t="s">
        <v>745</v>
      </c>
      <c r="M97" s="333" t="s">
        <v>744</v>
      </c>
      <c r="N97" s="332">
        <v>40509</v>
      </c>
      <c r="O97" s="180"/>
      <c r="P97" s="185"/>
      <c r="Q97" s="233"/>
      <c r="R97" s="193">
        <v>16575.52</v>
      </c>
      <c r="S97" s="240">
        <v>7436.28</v>
      </c>
      <c r="T97" s="240">
        <v>5645.56</v>
      </c>
      <c r="U97" s="347">
        <v>7488.47</v>
      </c>
      <c r="V97" s="212">
        <v>7473.19</v>
      </c>
      <c r="W97" s="350">
        <v>10951.02</v>
      </c>
      <c r="X97" s="220">
        <v>14611.51</v>
      </c>
      <c r="Y97" s="304">
        <v>14611.51</v>
      </c>
      <c r="Z97" s="172">
        <v>13493.25</v>
      </c>
      <c r="AA97" s="8">
        <f t="shared" si="17"/>
        <v>98286.31</v>
      </c>
      <c r="AB97" s="1">
        <f t="shared" si="18"/>
        <v>9</v>
      </c>
      <c r="AC97" s="31">
        <f t="shared" si="19"/>
        <v>10920.701111111111</v>
      </c>
      <c r="AE97" s="321">
        <f t="shared" si="16"/>
        <v>0</v>
      </c>
      <c r="AF97" s="321">
        <f t="shared" si="23"/>
        <v>0</v>
      </c>
      <c r="AG97" s="321">
        <f t="shared" si="23"/>
        <v>0</v>
      </c>
      <c r="AH97" s="321">
        <f t="shared" si="23"/>
        <v>29657.360000000001</v>
      </c>
      <c r="AI97" s="321">
        <f t="shared" si="23"/>
        <v>0</v>
      </c>
      <c r="AJ97" s="321">
        <f t="shared" si="23"/>
        <v>0</v>
      </c>
      <c r="AK97" s="321">
        <f t="shared" si="23"/>
        <v>0</v>
      </c>
      <c r="AL97" s="321">
        <f t="shared" si="23"/>
        <v>0</v>
      </c>
      <c r="AM97" s="321">
        <f t="shared" si="23"/>
        <v>0</v>
      </c>
      <c r="AN97" s="321">
        <f t="shared" si="23"/>
        <v>0</v>
      </c>
      <c r="AO97" s="321">
        <f t="shared" si="23"/>
        <v>0</v>
      </c>
      <c r="AP97" s="70">
        <f t="shared" si="21"/>
        <v>29657.360000000001</v>
      </c>
      <c r="AQ97" s="321">
        <f t="shared" si="22"/>
        <v>29657.360000000001</v>
      </c>
      <c r="AR97" s="331">
        <f>+AP97-AQ97</f>
        <v>0</v>
      </c>
    </row>
    <row r="98" spans="1:44" ht="10.5">
      <c r="A98" s="1" t="s">
        <v>661</v>
      </c>
      <c r="B98" s="4">
        <v>15051589</v>
      </c>
      <c r="C98" s="1" t="s">
        <v>281</v>
      </c>
      <c r="D98" s="1" t="s">
        <v>281</v>
      </c>
      <c r="E98" s="7"/>
      <c r="G98" s="1" t="s">
        <v>281</v>
      </c>
      <c r="H98" s="7">
        <v>29</v>
      </c>
      <c r="I98" s="7">
        <v>0</v>
      </c>
      <c r="K98" s="1" t="s">
        <v>444</v>
      </c>
      <c r="L98" s="1" t="s">
        <v>745</v>
      </c>
      <c r="M98" s="333" t="s">
        <v>744</v>
      </c>
      <c r="N98" s="332">
        <v>40505</v>
      </c>
      <c r="O98" s="181">
        <v>2210.9299999999998</v>
      </c>
      <c r="P98" s="184">
        <v>2103.8000000000002</v>
      </c>
      <c r="Q98" s="229">
        <v>2139.81</v>
      </c>
      <c r="R98" s="192">
        <v>2529.34</v>
      </c>
      <c r="S98" s="195">
        <v>2184.89</v>
      </c>
      <c r="T98" s="238">
        <v>2606.61</v>
      </c>
      <c r="U98" s="347">
        <v>2059.52</v>
      </c>
      <c r="V98" s="212">
        <v>2027.61</v>
      </c>
      <c r="W98" s="350">
        <v>2385.62</v>
      </c>
      <c r="X98" s="220">
        <v>2517.4</v>
      </c>
      <c r="Y98" s="304">
        <v>2168.04</v>
      </c>
      <c r="Z98" s="172">
        <v>2668.23</v>
      </c>
      <c r="AA98" s="8">
        <f t="shared" si="17"/>
        <v>27601.8</v>
      </c>
      <c r="AB98" s="1">
        <f t="shared" si="18"/>
        <v>12</v>
      </c>
      <c r="AC98" s="31">
        <f t="shared" si="19"/>
        <v>2300.15</v>
      </c>
      <c r="AE98" s="321">
        <f t="shared" si="16"/>
        <v>0</v>
      </c>
      <c r="AF98" s="321">
        <f t="shared" si="23"/>
        <v>0</v>
      </c>
      <c r="AG98" s="321">
        <f t="shared" si="23"/>
        <v>0</v>
      </c>
      <c r="AH98" s="321">
        <f t="shared" si="23"/>
        <v>0</v>
      </c>
      <c r="AI98" s="321">
        <f t="shared" si="23"/>
        <v>0</v>
      </c>
      <c r="AJ98" s="321">
        <f t="shared" si="23"/>
        <v>0</v>
      </c>
      <c r="AK98" s="321">
        <f t="shared" si="23"/>
        <v>0</v>
      </c>
      <c r="AL98" s="321">
        <f t="shared" si="23"/>
        <v>0</v>
      </c>
      <c r="AM98" s="321">
        <f t="shared" si="23"/>
        <v>0</v>
      </c>
      <c r="AN98" s="321">
        <f t="shared" si="23"/>
        <v>13775.38</v>
      </c>
      <c r="AO98" s="321">
        <f t="shared" si="23"/>
        <v>0</v>
      </c>
      <c r="AP98" s="70">
        <f t="shared" si="21"/>
        <v>13775.38</v>
      </c>
      <c r="AQ98" s="321">
        <f t="shared" si="22"/>
        <v>13775.38</v>
      </c>
      <c r="AR98" s="331"/>
    </row>
    <row r="99" spans="1:44" ht="10.5">
      <c r="A99" s="1" t="s">
        <v>660</v>
      </c>
      <c r="B99" s="4">
        <v>15051246</v>
      </c>
      <c r="C99" s="1" t="s">
        <v>91</v>
      </c>
      <c r="D99" s="1" t="s">
        <v>91</v>
      </c>
      <c r="E99" s="338">
        <v>37956</v>
      </c>
      <c r="G99" s="1" t="s">
        <v>790</v>
      </c>
      <c r="H99" s="7">
        <v>108</v>
      </c>
      <c r="I99" s="7">
        <v>1</v>
      </c>
      <c r="J99" s="1" t="s">
        <v>765</v>
      </c>
      <c r="K99" s="1" t="s">
        <v>445</v>
      </c>
      <c r="L99" s="1" t="s">
        <v>745</v>
      </c>
      <c r="M99" s="333" t="s">
        <v>744</v>
      </c>
      <c r="N99" s="332">
        <v>40504</v>
      </c>
      <c r="O99" s="181">
        <v>32766.31</v>
      </c>
      <c r="P99" s="184">
        <v>29592.33</v>
      </c>
      <c r="Q99" s="229">
        <v>29136.3</v>
      </c>
      <c r="R99" s="192">
        <v>32082.06</v>
      </c>
      <c r="S99" s="238">
        <v>22462.78</v>
      </c>
      <c r="T99" s="238">
        <v>14373.5</v>
      </c>
      <c r="U99" s="347">
        <v>11520.31</v>
      </c>
      <c r="V99" s="212">
        <v>11338.66</v>
      </c>
      <c r="W99" s="350">
        <v>18425.37</v>
      </c>
      <c r="X99" s="220">
        <v>29483.360000000001</v>
      </c>
      <c r="Y99" s="304">
        <v>27175.52</v>
      </c>
      <c r="Z99" s="172">
        <v>29249.78</v>
      </c>
      <c r="AA99" s="8">
        <f t="shared" si="17"/>
        <v>287606.27999999997</v>
      </c>
      <c r="AB99" s="1">
        <f t="shared" si="18"/>
        <v>12</v>
      </c>
      <c r="AC99" s="31">
        <f t="shared" si="19"/>
        <v>23967.19</v>
      </c>
      <c r="AD99" s="321"/>
      <c r="AE99" s="321">
        <f t="shared" si="16"/>
        <v>0</v>
      </c>
      <c r="AF99" s="321">
        <f t="shared" si="23"/>
        <v>0</v>
      </c>
      <c r="AG99" s="321">
        <f t="shared" si="23"/>
        <v>0</v>
      </c>
      <c r="AH99" s="321">
        <f t="shared" si="23"/>
        <v>0</v>
      </c>
      <c r="AI99" s="321">
        <f t="shared" si="23"/>
        <v>0</v>
      </c>
      <c r="AJ99" s="321">
        <f t="shared" si="23"/>
        <v>0</v>
      </c>
      <c r="AK99" s="321">
        <f t="shared" si="23"/>
        <v>0</v>
      </c>
      <c r="AL99" s="321">
        <f t="shared" si="23"/>
        <v>0</v>
      </c>
      <c r="AM99" s="321">
        <f t="shared" si="23"/>
        <v>0</v>
      </c>
      <c r="AN99" s="321">
        <f t="shared" si="23"/>
        <v>160413.28</v>
      </c>
      <c r="AO99" s="321">
        <f t="shared" si="23"/>
        <v>0</v>
      </c>
      <c r="AP99" s="70">
        <f t="shared" si="21"/>
        <v>160413.28</v>
      </c>
      <c r="AQ99" s="321">
        <f t="shared" si="22"/>
        <v>160413.28</v>
      </c>
      <c r="AR99" s="17"/>
    </row>
    <row r="100" spans="1:44" ht="10.5">
      <c r="A100" s="1" t="s">
        <v>704</v>
      </c>
      <c r="B100" s="4">
        <v>15032636</v>
      </c>
      <c r="C100" s="1" t="s">
        <v>624</v>
      </c>
      <c r="D100" s="1" t="s">
        <v>574</v>
      </c>
      <c r="E100" s="7">
        <v>2015</v>
      </c>
      <c r="G100" s="1" t="s">
        <v>574</v>
      </c>
      <c r="H100" s="7">
        <v>107</v>
      </c>
      <c r="I100" s="7">
        <v>1</v>
      </c>
      <c r="J100" s="1" t="s">
        <v>753</v>
      </c>
      <c r="K100" s="1" t="s">
        <v>791</v>
      </c>
      <c r="L100" s="1" t="s">
        <v>745</v>
      </c>
      <c r="M100" s="333" t="s">
        <v>744</v>
      </c>
      <c r="N100" s="332">
        <v>40511</v>
      </c>
      <c r="O100" s="180">
        <v>27407.88</v>
      </c>
      <c r="P100" s="185">
        <v>28478.880000000001</v>
      </c>
      <c r="Q100" s="233">
        <v>26452.33</v>
      </c>
      <c r="R100" s="193">
        <v>28949.56</v>
      </c>
      <c r="S100" s="240">
        <v>16546.66</v>
      </c>
      <c r="T100" s="240">
        <v>11885.44</v>
      </c>
      <c r="U100" s="348">
        <v>15320.32</v>
      </c>
      <c r="V100" s="211">
        <v>14237.25</v>
      </c>
      <c r="W100" s="350">
        <v>21246.18</v>
      </c>
      <c r="X100" s="220">
        <v>26392.53</v>
      </c>
      <c r="Y100" s="304">
        <v>22854.959999999999</v>
      </c>
      <c r="Z100" s="172">
        <v>20354.29</v>
      </c>
      <c r="AA100" s="8">
        <f t="shared" ref="AA100:AA117" si="25">+SUM(O100:Z100)</f>
        <v>260126.28</v>
      </c>
      <c r="AB100" s="1">
        <f t="shared" ref="AB100:AB117" si="26">COUNT(O100:Z100)</f>
        <v>12</v>
      </c>
      <c r="AC100" s="31">
        <f t="shared" ref="AC100:AC117" si="27">+IF(AA100=0,0,AA100/AB100)</f>
        <v>21677.19</v>
      </c>
      <c r="AE100" s="321">
        <f t="shared" si="16"/>
        <v>0</v>
      </c>
      <c r="AF100" s="321">
        <f t="shared" si="23"/>
        <v>0</v>
      </c>
      <c r="AG100" s="321">
        <f t="shared" si="23"/>
        <v>0</v>
      </c>
      <c r="AH100" s="321">
        <f t="shared" si="23"/>
        <v>0</v>
      </c>
      <c r="AI100" s="321">
        <f t="shared" si="23"/>
        <v>0</v>
      </c>
      <c r="AJ100" s="321">
        <f t="shared" si="23"/>
        <v>0</v>
      </c>
      <c r="AK100" s="321">
        <f t="shared" si="23"/>
        <v>0</v>
      </c>
      <c r="AL100" s="321">
        <f t="shared" si="23"/>
        <v>0</v>
      </c>
      <c r="AM100" s="321">
        <f t="shared" si="23"/>
        <v>0</v>
      </c>
      <c r="AN100" s="321">
        <f t="shared" si="23"/>
        <v>0</v>
      </c>
      <c r="AO100" s="321">
        <f t="shared" si="23"/>
        <v>139720.75</v>
      </c>
      <c r="AP100" s="70">
        <f t="shared" si="21"/>
        <v>139720.75</v>
      </c>
      <c r="AQ100" s="321">
        <f t="shared" si="22"/>
        <v>139720.75</v>
      </c>
      <c r="AR100" s="331"/>
    </row>
    <row r="101" spans="1:44" ht="10.5">
      <c r="A101" s="1" t="s">
        <v>705</v>
      </c>
      <c r="B101" s="4">
        <v>13032900</v>
      </c>
      <c r="C101" s="1" t="s">
        <v>569</v>
      </c>
      <c r="D101" s="1" t="s">
        <v>568</v>
      </c>
      <c r="H101" s="1">
        <v>1</v>
      </c>
      <c r="K101" s="1" t="s">
        <v>840</v>
      </c>
      <c r="L101" s="1" t="s">
        <v>745</v>
      </c>
      <c r="M101" s="1" t="s">
        <v>744</v>
      </c>
      <c r="N101" s="1">
        <v>40509</v>
      </c>
      <c r="O101" s="181">
        <v>247.71</v>
      </c>
      <c r="P101" s="184">
        <v>375.7</v>
      </c>
      <c r="Q101" s="229">
        <v>397.38</v>
      </c>
      <c r="R101" s="192">
        <v>248.2</v>
      </c>
      <c r="S101" s="32"/>
      <c r="T101" s="238">
        <v>131.13999999999999</v>
      </c>
      <c r="U101" s="347">
        <v>56.1</v>
      </c>
      <c r="V101" s="32"/>
      <c r="W101" s="350">
        <v>63.33</v>
      </c>
      <c r="X101" s="220">
        <v>264.08</v>
      </c>
      <c r="Y101" s="304">
        <v>164.9</v>
      </c>
      <c r="Z101" s="172">
        <v>93.5</v>
      </c>
      <c r="AA101" s="8">
        <f t="shared" si="25"/>
        <v>2042.04</v>
      </c>
      <c r="AB101" s="1">
        <f t="shared" si="26"/>
        <v>10</v>
      </c>
      <c r="AC101" s="31">
        <f t="shared" si="27"/>
        <v>204.20400000000001</v>
      </c>
      <c r="AE101" s="321">
        <f t="shared" si="16"/>
        <v>0</v>
      </c>
      <c r="AF101" s="321">
        <f t="shared" si="23"/>
        <v>0</v>
      </c>
      <c r="AG101" s="321">
        <f t="shared" si="23"/>
        <v>0</v>
      </c>
      <c r="AH101" s="321">
        <f t="shared" si="23"/>
        <v>0</v>
      </c>
      <c r="AI101" s="321">
        <f t="shared" si="23"/>
        <v>0</v>
      </c>
      <c r="AJ101" s="321">
        <f t="shared" si="23"/>
        <v>0</v>
      </c>
      <c r="AK101" s="321">
        <f t="shared" si="23"/>
        <v>0</v>
      </c>
      <c r="AL101" s="321">
        <f t="shared" si="23"/>
        <v>0</v>
      </c>
      <c r="AM101" s="321">
        <f t="shared" si="23"/>
        <v>0</v>
      </c>
      <c r="AN101" s="321">
        <f t="shared" si="23"/>
        <v>0</v>
      </c>
      <c r="AO101" s="321">
        <f t="shared" si="23"/>
        <v>1400.13</v>
      </c>
      <c r="AP101" s="70">
        <f t="shared" si="21"/>
        <v>1400.13</v>
      </c>
      <c r="AQ101" s="321">
        <f t="shared" si="22"/>
        <v>1400.13</v>
      </c>
      <c r="AR101" s="331">
        <f>+AP101-AQ101</f>
        <v>0</v>
      </c>
    </row>
    <row r="102" spans="1:44" ht="10.5">
      <c r="A102" s="1" t="s">
        <v>658</v>
      </c>
      <c r="B102" s="4">
        <v>7005200</v>
      </c>
      <c r="C102" s="1" t="s">
        <v>284</v>
      </c>
      <c r="D102" s="1" t="s">
        <v>581</v>
      </c>
      <c r="H102" s="1">
        <v>126</v>
      </c>
      <c r="K102" s="1" t="s">
        <v>453</v>
      </c>
      <c r="L102" s="1" t="s">
        <v>745</v>
      </c>
      <c r="M102" s="333" t="s">
        <v>744</v>
      </c>
      <c r="N102" s="1">
        <v>40517</v>
      </c>
      <c r="O102" s="181">
        <v>7868.7</v>
      </c>
      <c r="P102" s="184">
        <v>7495.06</v>
      </c>
      <c r="Q102" s="229">
        <v>8929.92</v>
      </c>
      <c r="R102" s="192">
        <v>8816.66</v>
      </c>
      <c r="S102" s="195">
        <v>7633.6</v>
      </c>
      <c r="T102" s="238">
        <v>5969.31</v>
      </c>
      <c r="U102" s="347">
        <v>6811.34</v>
      </c>
      <c r="V102" s="212">
        <v>5778.57</v>
      </c>
      <c r="W102" s="350">
        <v>7902.19</v>
      </c>
      <c r="X102" s="220">
        <v>7971.59</v>
      </c>
      <c r="Y102" s="304">
        <v>7450.01</v>
      </c>
      <c r="Z102" s="172">
        <v>6723.53</v>
      </c>
      <c r="AA102" s="8">
        <f t="shared" si="25"/>
        <v>89350.479999999981</v>
      </c>
      <c r="AB102" s="1">
        <f t="shared" si="26"/>
        <v>12</v>
      </c>
      <c r="AC102" s="31">
        <f t="shared" si="27"/>
        <v>7445.8733333333321</v>
      </c>
      <c r="AE102" s="321">
        <f t="shared" si="16"/>
        <v>0</v>
      </c>
      <c r="AF102" s="321">
        <f t="shared" si="23"/>
        <v>0</v>
      </c>
      <c r="AG102" s="321">
        <f t="shared" si="23"/>
        <v>0</v>
      </c>
      <c r="AH102" s="321">
        <f t="shared" si="23"/>
        <v>0</v>
      </c>
      <c r="AI102" s="321">
        <f t="shared" si="23"/>
        <v>0</v>
      </c>
      <c r="AJ102" s="321">
        <f t="shared" si="23"/>
        <v>0</v>
      </c>
      <c r="AK102" s="321">
        <f t="shared" si="23"/>
        <v>0</v>
      </c>
      <c r="AL102" s="321">
        <f t="shared" si="23"/>
        <v>0</v>
      </c>
      <c r="AM102" s="321">
        <f t="shared" si="23"/>
        <v>46713.249999999993</v>
      </c>
      <c r="AN102" s="321">
        <f t="shared" si="23"/>
        <v>0</v>
      </c>
      <c r="AO102" s="321">
        <f t="shared" si="23"/>
        <v>0</v>
      </c>
      <c r="AP102" s="70">
        <f t="shared" si="21"/>
        <v>46713.249999999993</v>
      </c>
      <c r="AQ102" s="321">
        <f t="shared" si="22"/>
        <v>46713.249999999993</v>
      </c>
      <c r="AR102" s="331">
        <f>+AP102-AQ102</f>
        <v>0</v>
      </c>
    </row>
    <row r="103" spans="1:44" ht="10.5">
      <c r="A103" s="1" t="s">
        <v>705</v>
      </c>
      <c r="B103" s="4">
        <v>7004900</v>
      </c>
      <c r="C103" s="1" t="s">
        <v>393</v>
      </c>
      <c r="D103" s="1" t="s">
        <v>393</v>
      </c>
      <c r="E103" s="7"/>
      <c r="F103" s="7">
        <v>120</v>
      </c>
      <c r="G103" s="1" t="s">
        <v>285</v>
      </c>
      <c r="H103" s="7">
        <v>25</v>
      </c>
      <c r="I103" s="7">
        <v>0</v>
      </c>
      <c r="K103" s="1" t="s">
        <v>449</v>
      </c>
      <c r="L103" s="1" t="s">
        <v>745</v>
      </c>
      <c r="M103" s="333" t="s">
        <v>744</v>
      </c>
      <c r="N103" s="332">
        <v>40511</v>
      </c>
      <c r="O103" s="181">
        <v>525.29999999999995</v>
      </c>
      <c r="P103" s="184">
        <v>475.58</v>
      </c>
      <c r="Q103" s="229">
        <v>535.08000000000004</v>
      </c>
      <c r="R103" s="192">
        <v>495.55</v>
      </c>
      <c r="S103" s="195">
        <v>457.3</v>
      </c>
      <c r="T103" s="238">
        <v>496.15</v>
      </c>
      <c r="U103" s="347">
        <v>460.7</v>
      </c>
      <c r="V103" s="212">
        <v>439.03</v>
      </c>
      <c r="W103" s="350">
        <v>542.29999999999995</v>
      </c>
      <c r="X103" s="220">
        <v>507.03</v>
      </c>
      <c r="Y103" s="304">
        <v>534.57000000000005</v>
      </c>
      <c r="Z103" s="172">
        <v>448.54</v>
      </c>
      <c r="AA103" s="8">
        <f t="shared" si="25"/>
        <v>5917.1299999999992</v>
      </c>
      <c r="AB103" s="1">
        <f t="shared" si="26"/>
        <v>12</v>
      </c>
      <c r="AC103" s="31">
        <f t="shared" si="27"/>
        <v>493.09416666666658</v>
      </c>
      <c r="AE103" s="321">
        <f t="shared" si="16"/>
        <v>0</v>
      </c>
      <c r="AF103" s="321">
        <f t="shared" si="23"/>
        <v>0</v>
      </c>
      <c r="AG103" s="321">
        <f t="shared" si="23"/>
        <v>0</v>
      </c>
      <c r="AH103" s="321">
        <f t="shared" si="23"/>
        <v>0</v>
      </c>
      <c r="AI103" s="321">
        <f t="shared" si="23"/>
        <v>0</v>
      </c>
      <c r="AJ103" s="321">
        <f t="shared" si="23"/>
        <v>0</v>
      </c>
      <c r="AK103" s="321">
        <f t="shared" si="23"/>
        <v>0</v>
      </c>
      <c r="AL103" s="321">
        <f t="shared" si="23"/>
        <v>0</v>
      </c>
      <c r="AM103" s="321">
        <f t="shared" si="23"/>
        <v>0</v>
      </c>
      <c r="AN103" s="321">
        <f t="shared" si="23"/>
        <v>0</v>
      </c>
      <c r="AO103" s="321">
        <f t="shared" si="23"/>
        <v>2984.96</v>
      </c>
      <c r="AP103" s="70">
        <f t="shared" si="21"/>
        <v>2984.96</v>
      </c>
      <c r="AQ103" s="321">
        <f t="shared" si="22"/>
        <v>2984.96</v>
      </c>
      <c r="AR103" s="331">
        <f>+AP103-AQ103</f>
        <v>0</v>
      </c>
    </row>
    <row r="104" spans="1:44" ht="10.5">
      <c r="A104" s="1" t="s">
        <v>659</v>
      </c>
      <c r="B104" s="4">
        <v>15054341</v>
      </c>
      <c r="C104" s="1" t="s">
        <v>669</v>
      </c>
      <c r="D104" s="1" t="s">
        <v>502</v>
      </c>
      <c r="E104" s="7">
        <v>1990</v>
      </c>
      <c r="G104" s="1" t="s">
        <v>502</v>
      </c>
      <c r="H104" s="7">
        <v>62</v>
      </c>
      <c r="I104" s="7">
        <v>0</v>
      </c>
      <c r="J104" s="1" t="s">
        <v>776</v>
      </c>
      <c r="K104" s="1" t="s">
        <v>447</v>
      </c>
      <c r="L104" s="1" t="s">
        <v>745</v>
      </c>
      <c r="M104" s="333" t="s">
        <v>744</v>
      </c>
      <c r="N104" s="332">
        <v>40505</v>
      </c>
      <c r="O104" s="181">
        <v>5940.19</v>
      </c>
      <c r="P104" s="184">
        <v>5694.68</v>
      </c>
      <c r="Q104" s="229">
        <v>5591.06</v>
      </c>
      <c r="R104" s="192">
        <v>6779.1</v>
      </c>
      <c r="S104" s="195">
        <v>3110.99</v>
      </c>
      <c r="T104" s="238">
        <v>3444.38</v>
      </c>
      <c r="U104" s="347">
        <v>2754.82</v>
      </c>
      <c r="V104" s="212">
        <v>2815.87</v>
      </c>
      <c r="W104" s="350">
        <v>4816.76</v>
      </c>
      <c r="X104" s="220">
        <v>5894.73</v>
      </c>
      <c r="Y104" s="304">
        <v>4993.1899999999996</v>
      </c>
      <c r="Z104" s="172">
        <v>4725.87</v>
      </c>
      <c r="AA104" s="8">
        <f t="shared" si="25"/>
        <v>56561.640000000007</v>
      </c>
      <c r="AB104" s="1">
        <f t="shared" si="26"/>
        <v>12</v>
      </c>
      <c r="AC104" s="31">
        <f t="shared" si="27"/>
        <v>4713.47</v>
      </c>
      <c r="AE104" s="321">
        <f t="shared" si="16"/>
        <v>0</v>
      </c>
      <c r="AF104" s="321">
        <f t="shared" si="23"/>
        <v>0</v>
      </c>
      <c r="AG104" s="321">
        <f t="shared" si="23"/>
        <v>0</v>
      </c>
      <c r="AH104" s="321">
        <f t="shared" si="23"/>
        <v>0</v>
      </c>
      <c r="AI104" s="321">
        <f t="shared" si="23"/>
        <v>0</v>
      </c>
      <c r="AJ104" s="321">
        <f t="shared" si="23"/>
        <v>0</v>
      </c>
      <c r="AK104" s="321">
        <f t="shared" si="23"/>
        <v>0</v>
      </c>
      <c r="AL104" s="321">
        <f t="shared" si="23"/>
        <v>30560.399999999998</v>
      </c>
      <c r="AM104" s="321">
        <f t="shared" si="23"/>
        <v>0</v>
      </c>
      <c r="AN104" s="321">
        <f t="shared" si="23"/>
        <v>0</v>
      </c>
      <c r="AO104" s="321">
        <f t="shared" si="23"/>
        <v>0</v>
      </c>
      <c r="AP104" s="70">
        <f t="shared" si="21"/>
        <v>30560.399999999998</v>
      </c>
      <c r="AQ104" s="321">
        <f t="shared" si="22"/>
        <v>30560.399999999998</v>
      </c>
      <c r="AR104" s="331">
        <f>+AP104-AQ104</f>
        <v>0</v>
      </c>
    </row>
    <row r="105" spans="1:44" ht="10.5">
      <c r="A105" s="1" t="s">
        <v>659</v>
      </c>
      <c r="B105" s="4">
        <v>15060725</v>
      </c>
      <c r="C105" s="1" t="s">
        <v>846</v>
      </c>
      <c r="D105" s="1" t="s">
        <v>846</v>
      </c>
      <c r="E105" s="7"/>
      <c r="H105" s="7">
        <v>110</v>
      </c>
      <c r="I105" s="7"/>
      <c r="M105" s="333"/>
      <c r="N105" s="332"/>
      <c r="O105" s="181"/>
      <c r="P105" s="184"/>
      <c r="Q105" s="229"/>
      <c r="R105" s="192"/>
      <c r="S105" s="195"/>
      <c r="T105" s="238"/>
      <c r="U105" s="306"/>
      <c r="V105" s="212"/>
      <c r="W105" s="350">
        <v>7244.45</v>
      </c>
      <c r="X105" s="220">
        <v>9613.35</v>
      </c>
      <c r="Y105" s="304">
        <v>8321.1200000000008</v>
      </c>
      <c r="Z105" s="172">
        <v>8232.07</v>
      </c>
      <c r="AA105" s="8">
        <f t="shared" si="25"/>
        <v>33410.99</v>
      </c>
      <c r="AB105" s="1">
        <f t="shared" si="26"/>
        <v>4</v>
      </c>
      <c r="AC105" s="31">
        <f t="shared" si="27"/>
        <v>8352.7474999999995</v>
      </c>
      <c r="AE105" s="321">
        <f t="shared" si="16"/>
        <v>0</v>
      </c>
      <c r="AF105" s="321">
        <f t="shared" si="23"/>
        <v>0</v>
      </c>
      <c r="AG105" s="321">
        <f t="shared" si="23"/>
        <v>0</v>
      </c>
      <c r="AH105" s="321">
        <f t="shared" si="23"/>
        <v>0</v>
      </c>
      <c r="AI105" s="321">
        <f t="shared" si="23"/>
        <v>0</v>
      </c>
      <c r="AJ105" s="321">
        <f t="shared" si="23"/>
        <v>0</v>
      </c>
      <c r="AK105" s="321">
        <f t="shared" si="23"/>
        <v>0</v>
      </c>
      <c r="AL105" s="321">
        <f t="shared" si="23"/>
        <v>0</v>
      </c>
      <c r="AM105" s="321">
        <f t="shared" si="23"/>
        <v>0</v>
      </c>
      <c r="AN105" s="321">
        <f t="shared" si="23"/>
        <v>0</v>
      </c>
      <c r="AO105" s="321">
        <f t="shared" si="23"/>
        <v>0</v>
      </c>
      <c r="AP105" s="70">
        <f t="shared" si="21"/>
        <v>0</v>
      </c>
      <c r="AQ105" s="321">
        <f t="shared" si="22"/>
        <v>0</v>
      </c>
      <c r="AR105" s="331"/>
    </row>
    <row r="106" spans="1:44" ht="10.5">
      <c r="A106" s="1" t="s">
        <v>664</v>
      </c>
      <c r="B106" s="4">
        <v>15051606</v>
      </c>
      <c r="C106" s="1" t="s">
        <v>639</v>
      </c>
      <c r="D106" s="1" t="s">
        <v>518</v>
      </c>
      <c r="E106" s="7">
        <v>1951</v>
      </c>
      <c r="F106" s="7">
        <v>125</v>
      </c>
      <c r="G106" s="1" t="s">
        <v>750</v>
      </c>
      <c r="H106" s="7">
        <v>250</v>
      </c>
      <c r="I106" s="7">
        <v>15</v>
      </c>
      <c r="J106" s="1" t="s">
        <v>751</v>
      </c>
      <c r="K106" s="1" t="s">
        <v>450</v>
      </c>
      <c r="L106" s="1" t="s">
        <v>745</v>
      </c>
      <c r="M106" s="333" t="s">
        <v>744</v>
      </c>
      <c r="N106" s="332">
        <v>40504</v>
      </c>
      <c r="O106" s="181">
        <v>55948.53</v>
      </c>
      <c r="P106" s="184">
        <v>39546.01</v>
      </c>
      <c r="Q106" s="229">
        <v>43918.55</v>
      </c>
      <c r="R106" s="192">
        <v>69931.77</v>
      </c>
      <c r="S106" s="238">
        <v>31660.240000000002</v>
      </c>
      <c r="T106" s="238">
        <v>22459.01</v>
      </c>
      <c r="U106" s="347">
        <v>21830.240000000002</v>
      </c>
      <c r="V106" s="212">
        <v>23851.1</v>
      </c>
      <c r="W106" s="350">
        <v>42252.05</v>
      </c>
      <c r="X106" s="220">
        <v>71543.69</v>
      </c>
      <c r="Y106" s="304">
        <v>54574.559999999998</v>
      </c>
      <c r="Z106" s="172">
        <v>41301.9</v>
      </c>
      <c r="AA106" s="8">
        <f t="shared" si="25"/>
        <v>518817.65</v>
      </c>
      <c r="AB106" s="1">
        <f t="shared" si="26"/>
        <v>12</v>
      </c>
      <c r="AC106" s="31">
        <f t="shared" si="27"/>
        <v>43234.804166666669</v>
      </c>
      <c r="AE106" s="321">
        <f t="shared" si="16"/>
        <v>0</v>
      </c>
      <c r="AF106" s="321">
        <f t="shared" si="23"/>
        <v>0</v>
      </c>
      <c r="AG106" s="321">
        <f t="shared" si="23"/>
        <v>0</v>
      </c>
      <c r="AH106" s="321">
        <f t="shared" si="23"/>
        <v>0</v>
      </c>
      <c r="AI106" s="321">
        <f t="shared" si="23"/>
        <v>0</v>
      </c>
      <c r="AJ106" s="321">
        <f t="shared" si="23"/>
        <v>0</v>
      </c>
      <c r="AK106" s="321">
        <f t="shared" si="23"/>
        <v>0</v>
      </c>
      <c r="AL106" s="321">
        <f t="shared" si="23"/>
        <v>0</v>
      </c>
      <c r="AM106" s="321">
        <f t="shared" si="23"/>
        <v>0</v>
      </c>
      <c r="AN106" s="321">
        <f t="shared" si="23"/>
        <v>263464.11000000004</v>
      </c>
      <c r="AO106" s="321">
        <f t="shared" si="23"/>
        <v>0</v>
      </c>
      <c r="AP106" s="70">
        <f t="shared" si="21"/>
        <v>263464.11000000004</v>
      </c>
      <c r="AQ106" s="321">
        <f t="shared" si="22"/>
        <v>263464.11000000004</v>
      </c>
      <c r="AR106" s="331">
        <f t="shared" ref="AR106:AR117" si="28">+AP106-AQ106</f>
        <v>0</v>
      </c>
    </row>
    <row r="107" spans="1:44" ht="10.5">
      <c r="A107" s="1" t="s">
        <v>705</v>
      </c>
      <c r="B107" s="4">
        <v>7009800</v>
      </c>
      <c r="C107" s="1" t="s">
        <v>113</v>
      </c>
      <c r="D107" s="1" t="s">
        <v>102</v>
      </c>
      <c r="H107" s="1">
        <v>1</v>
      </c>
      <c r="K107" s="1" t="s">
        <v>839</v>
      </c>
      <c r="L107" s="1" t="s">
        <v>745</v>
      </c>
      <c r="M107" s="1" t="s">
        <v>744</v>
      </c>
      <c r="N107" s="1">
        <v>40508</v>
      </c>
      <c r="O107" s="181">
        <v>532.95000000000005</v>
      </c>
      <c r="P107" s="184">
        <v>436.51</v>
      </c>
      <c r="Q107" s="229">
        <v>386.32</v>
      </c>
      <c r="R107" s="192">
        <v>441.58</v>
      </c>
      <c r="S107" s="32"/>
      <c r="T107" s="238">
        <v>308.98</v>
      </c>
      <c r="U107" s="347">
        <v>101.15</v>
      </c>
      <c r="V107" s="32"/>
      <c r="W107" s="350">
        <v>138.12</v>
      </c>
      <c r="X107" s="220">
        <v>536.55999999999995</v>
      </c>
      <c r="Y107" s="32"/>
      <c r="Z107" s="32"/>
      <c r="AA107" s="8">
        <f t="shared" si="25"/>
        <v>2882.17</v>
      </c>
      <c r="AB107" s="1">
        <f t="shared" si="26"/>
        <v>8</v>
      </c>
      <c r="AC107" s="31">
        <f t="shared" si="27"/>
        <v>360.27125000000001</v>
      </c>
      <c r="AE107" s="321">
        <f t="shared" si="16"/>
        <v>0</v>
      </c>
      <c r="AF107" s="321">
        <f t="shared" si="23"/>
        <v>0</v>
      </c>
      <c r="AG107" s="321">
        <f t="shared" si="23"/>
        <v>0</v>
      </c>
      <c r="AH107" s="321">
        <f t="shared" si="23"/>
        <v>0</v>
      </c>
      <c r="AI107" s="321">
        <f t="shared" si="23"/>
        <v>0</v>
      </c>
      <c r="AJ107" s="321">
        <f t="shared" si="23"/>
        <v>0</v>
      </c>
      <c r="AK107" s="321">
        <f t="shared" si="23"/>
        <v>0</v>
      </c>
      <c r="AL107" s="321">
        <f t="shared" si="23"/>
        <v>0</v>
      </c>
      <c r="AM107" s="321">
        <f t="shared" si="23"/>
        <v>0</v>
      </c>
      <c r="AN107" s="321">
        <f t="shared" si="23"/>
        <v>0</v>
      </c>
      <c r="AO107" s="321">
        <f t="shared" si="23"/>
        <v>2106.34</v>
      </c>
      <c r="AP107" s="70">
        <f t="shared" si="21"/>
        <v>2106.34</v>
      </c>
      <c r="AQ107" s="321">
        <f t="shared" si="22"/>
        <v>2106.34</v>
      </c>
      <c r="AR107" s="331">
        <f t="shared" si="28"/>
        <v>0</v>
      </c>
    </row>
    <row r="108" spans="1:44" ht="10.5">
      <c r="A108" s="1" t="s">
        <v>531</v>
      </c>
      <c r="B108" s="4">
        <v>15059549</v>
      </c>
      <c r="D108" s="1" t="s">
        <v>856</v>
      </c>
      <c r="E108" s="7"/>
      <c r="H108" s="7">
        <v>42</v>
      </c>
      <c r="I108" s="7"/>
      <c r="M108" s="333"/>
      <c r="N108" s="332"/>
      <c r="O108" s="181"/>
      <c r="P108" s="184"/>
      <c r="Q108" s="229"/>
      <c r="R108" s="192"/>
      <c r="S108" s="195"/>
      <c r="T108" s="238"/>
      <c r="U108" s="306"/>
      <c r="V108" s="212"/>
      <c r="W108" s="350"/>
      <c r="X108" s="220"/>
      <c r="Y108" s="304"/>
      <c r="Z108" s="172">
        <v>3775.47</v>
      </c>
      <c r="AA108" s="8">
        <f t="shared" si="25"/>
        <v>3775.47</v>
      </c>
      <c r="AB108" s="1">
        <f t="shared" si="26"/>
        <v>1</v>
      </c>
      <c r="AC108" s="31">
        <f t="shared" si="27"/>
        <v>3775.47</v>
      </c>
      <c r="AE108" s="321">
        <f t="shared" si="16"/>
        <v>0</v>
      </c>
      <c r="AF108" s="321">
        <f t="shared" si="23"/>
        <v>0</v>
      </c>
      <c r="AG108" s="321">
        <f t="shared" si="23"/>
        <v>0</v>
      </c>
      <c r="AH108" s="321">
        <f t="shared" si="23"/>
        <v>0</v>
      </c>
      <c r="AI108" s="321">
        <f t="shared" si="23"/>
        <v>0</v>
      </c>
      <c r="AJ108" s="321">
        <f t="shared" si="23"/>
        <v>0</v>
      </c>
      <c r="AK108" s="321">
        <f t="shared" si="23"/>
        <v>0</v>
      </c>
      <c r="AL108" s="321">
        <f t="shared" si="23"/>
        <v>0</v>
      </c>
      <c r="AM108" s="321">
        <f t="shared" si="23"/>
        <v>0</v>
      </c>
      <c r="AN108" s="321">
        <f t="shared" si="23"/>
        <v>0</v>
      </c>
      <c r="AO108" s="321">
        <f t="shared" si="23"/>
        <v>0</v>
      </c>
      <c r="AP108" s="70">
        <f t="shared" si="21"/>
        <v>0</v>
      </c>
      <c r="AQ108" s="321">
        <f t="shared" si="22"/>
        <v>0</v>
      </c>
      <c r="AR108" s="331">
        <f t="shared" si="28"/>
        <v>0</v>
      </c>
    </row>
    <row r="109" spans="1:44" ht="10.5">
      <c r="A109" s="1" t="s">
        <v>537</v>
      </c>
      <c r="B109" s="4">
        <v>15055052</v>
      </c>
      <c r="C109" s="1" t="s">
        <v>590</v>
      </c>
      <c r="D109" s="1" t="s">
        <v>590</v>
      </c>
      <c r="E109" s="7"/>
      <c r="H109" s="7">
        <v>95</v>
      </c>
      <c r="I109" s="7"/>
      <c r="M109" s="333"/>
      <c r="N109" s="332"/>
      <c r="O109" s="181"/>
      <c r="P109" s="184"/>
      <c r="Q109" s="229"/>
      <c r="R109" s="192"/>
      <c r="S109" s="195"/>
      <c r="T109" s="238"/>
      <c r="U109" s="306"/>
      <c r="V109" s="212"/>
      <c r="W109" s="350">
        <v>7792.88</v>
      </c>
      <c r="X109" s="220">
        <v>21407.09</v>
      </c>
      <c r="Y109" s="304">
        <v>17246.32</v>
      </c>
      <c r="Z109" s="172">
        <v>17835.88</v>
      </c>
      <c r="AA109" s="8">
        <f t="shared" si="25"/>
        <v>64282.17</v>
      </c>
      <c r="AB109" s="1">
        <f t="shared" si="26"/>
        <v>4</v>
      </c>
      <c r="AC109" s="31">
        <f t="shared" si="27"/>
        <v>16070.5425</v>
      </c>
      <c r="AE109" s="321">
        <f t="shared" si="16"/>
        <v>0</v>
      </c>
      <c r="AF109" s="321">
        <f t="shared" si="23"/>
        <v>0</v>
      </c>
      <c r="AG109" s="321">
        <f t="shared" si="23"/>
        <v>0</v>
      </c>
      <c r="AH109" s="321">
        <f t="shared" si="23"/>
        <v>0</v>
      </c>
      <c r="AI109" s="321">
        <f t="shared" si="23"/>
        <v>0</v>
      </c>
      <c r="AJ109" s="321">
        <f t="shared" si="23"/>
        <v>0</v>
      </c>
      <c r="AK109" s="321">
        <f t="shared" si="23"/>
        <v>0</v>
      </c>
      <c r="AL109" s="321">
        <f t="shared" si="23"/>
        <v>0</v>
      </c>
      <c r="AM109" s="321">
        <f t="shared" si="23"/>
        <v>0</v>
      </c>
      <c r="AN109" s="321">
        <f t="shared" si="23"/>
        <v>0</v>
      </c>
      <c r="AO109" s="321">
        <f t="shared" si="23"/>
        <v>0</v>
      </c>
      <c r="AP109" s="70">
        <f t="shared" si="21"/>
        <v>0</v>
      </c>
      <c r="AQ109" s="321">
        <f t="shared" si="22"/>
        <v>0</v>
      </c>
      <c r="AR109" s="331">
        <f t="shared" si="28"/>
        <v>0</v>
      </c>
    </row>
    <row r="110" spans="1:44" ht="10.5">
      <c r="A110" s="1" t="s">
        <v>530</v>
      </c>
      <c r="B110" s="4">
        <v>15036275</v>
      </c>
      <c r="C110" s="1" t="s">
        <v>645</v>
      </c>
      <c r="D110" s="1" t="s">
        <v>590</v>
      </c>
      <c r="E110" s="7">
        <v>2015</v>
      </c>
      <c r="G110" s="1" t="s">
        <v>589</v>
      </c>
      <c r="H110" s="7">
        <v>99</v>
      </c>
      <c r="I110" s="7">
        <v>1</v>
      </c>
      <c r="J110" s="1" t="s">
        <v>765</v>
      </c>
      <c r="K110" s="1" t="s">
        <v>828</v>
      </c>
      <c r="L110" s="1" t="s">
        <v>745</v>
      </c>
      <c r="M110" s="333" t="s">
        <v>744</v>
      </c>
      <c r="N110" s="332">
        <v>40509</v>
      </c>
      <c r="O110" s="181">
        <v>24018.63</v>
      </c>
      <c r="P110" s="184">
        <v>21982.62</v>
      </c>
      <c r="Q110" s="229">
        <v>17616.53</v>
      </c>
      <c r="R110" s="192">
        <v>24386.81</v>
      </c>
      <c r="S110" s="195">
        <v>16803.669999999998</v>
      </c>
      <c r="T110" s="238">
        <v>12013.71</v>
      </c>
      <c r="U110" s="347">
        <v>11805.98</v>
      </c>
      <c r="V110" s="212">
        <v>12911.48</v>
      </c>
      <c r="W110" s="350">
        <v>16219.66</v>
      </c>
      <c r="X110" s="220">
        <v>20654.490000000002</v>
      </c>
      <c r="Y110" s="304">
        <v>19400.98</v>
      </c>
      <c r="Z110" s="172">
        <v>19355.099999999999</v>
      </c>
      <c r="AA110" s="8">
        <f t="shared" si="25"/>
        <v>217169.66</v>
      </c>
      <c r="AB110" s="1">
        <f t="shared" si="26"/>
        <v>12</v>
      </c>
      <c r="AC110" s="31">
        <f t="shared" si="27"/>
        <v>18097.471666666668</v>
      </c>
      <c r="AE110" s="321">
        <f t="shared" si="16"/>
        <v>0</v>
      </c>
      <c r="AF110" s="321">
        <f t="shared" si="23"/>
        <v>0</v>
      </c>
      <c r="AG110" s="321">
        <f t="shared" si="23"/>
        <v>0</v>
      </c>
      <c r="AH110" s="321">
        <f t="shared" si="23"/>
        <v>116821.97</v>
      </c>
      <c r="AI110" s="321">
        <f t="shared" si="23"/>
        <v>0</v>
      </c>
      <c r="AJ110" s="321">
        <f t="shared" si="23"/>
        <v>0</v>
      </c>
      <c r="AK110" s="321">
        <f t="shared" si="23"/>
        <v>0</v>
      </c>
      <c r="AL110" s="321">
        <f t="shared" si="23"/>
        <v>0</v>
      </c>
      <c r="AM110" s="321">
        <f t="shared" si="23"/>
        <v>0</v>
      </c>
      <c r="AN110" s="321">
        <f t="shared" si="23"/>
        <v>0</v>
      </c>
      <c r="AO110" s="321">
        <f t="shared" si="23"/>
        <v>0</v>
      </c>
      <c r="AP110" s="70">
        <f t="shared" si="21"/>
        <v>116821.97</v>
      </c>
      <c r="AQ110" s="321">
        <f t="shared" si="22"/>
        <v>116821.97</v>
      </c>
      <c r="AR110" s="331">
        <f t="shared" si="28"/>
        <v>0</v>
      </c>
    </row>
    <row r="111" spans="1:44" ht="10.5">
      <c r="A111" s="1" t="s">
        <v>664</v>
      </c>
      <c r="B111" s="42">
        <v>7007701</v>
      </c>
      <c r="C111" s="11" t="s">
        <v>98</v>
      </c>
      <c r="D111" s="11" t="s">
        <v>98</v>
      </c>
      <c r="E111" s="11"/>
      <c r="F111" s="340">
        <v>122</v>
      </c>
      <c r="G111" s="11"/>
      <c r="H111" s="11"/>
      <c r="I111" s="11"/>
      <c r="J111" s="11"/>
      <c r="K111" s="11" t="s">
        <v>841</v>
      </c>
      <c r="L111" s="1" t="s">
        <v>745</v>
      </c>
      <c r="M111" s="333" t="s">
        <v>744</v>
      </c>
      <c r="N111" s="340">
        <v>40503</v>
      </c>
      <c r="O111" s="181"/>
      <c r="P111" s="184"/>
      <c r="Q111" s="229"/>
      <c r="R111" s="192"/>
      <c r="S111" s="195"/>
      <c r="T111" s="238"/>
      <c r="U111" s="306"/>
      <c r="V111" s="212"/>
      <c r="W111" s="350"/>
      <c r="X111" s="220"/>
      <c r="Y111" s="304"/>
      <c r="Z111" s="172"/>
      <c r="AA111" s="8">
        <f t="shared" si="25"/>
        <v>0</v>
      </c>
      <c r="AB111" s="1">
        <f t="shared" si="26"/>
        <v>0</v>
      </c>
      <c r="AC111" s="32">
        <f t="shared" si="27"/>
        <v>0</v>
      </c>
      <c r="AE111" s="321">
        <f t="shared" si="16"/>
        <v>0</v>
      </c>
      <c r="AF111" s="321">
        <f t="shared" si="23"/>
        <v>0</v>
      </c>
      <c r="AG111" s="321">
        <f t="shared" ref="AF111:AO117" si="29">+IF($A111=AG$1,SUM($O111:$T111),0)</f>
        <v>0</v>
      </c>
      <c r="AH111" s="321">
        <f t="shared" si="29"/>
        <v>0</v>
      </c>
      <c r="AI111" s="321">
        <f t="shared" si="29"/>
        <v>0</v>
      </c>
      <c r="AJ111" s="321">
        <f t="shared" si="29"/>
        <v>0</v>
      </c>
      <c r="AK111" s="321">
        <f t="shared" si="29"/>
        <v>0</v>
      </c>
      <c r="AL111" s="321">
        <f t="shared" si="29"/>
        <v>0</v>
      </c>
      <c r="AM111" s="321">
        <f t="shared" si="29"/>
        <v>0</v>
      </c>
      <c r="AN111" s="321">
        <f t="shared" si="29"/>
        <v>0</v>
      </c>
      <c r="AO111" s="321">
        <f t="shared" si="29"/>
        <v>0</v>
      </c>
      <c r="AP111" s="70">
        <f t="shared" si="21"/>
        <v>0</v>
      </c>
      <c r="AQ111" s="321">
        <f t="shared" si="22"/>
        <v>0</v>
      </c>
      <c r="AR111" s="331">
        <f t="shared" si="28"/>
        <v>0</v>
      </c>
    </row>
    <row r="112" spans="1:44" ht="10.5">
      <c r="A112" s="1" t="s">
        <v>705</v>
      </c>
      <c r="B112" s="4">
        <v>15052394</v>
      </c>
      <c r="C112" s="1" t="s">
        <v>698</v>
      </c>
      <c r="D112" s="1" t="s">
        <v>698</v>
      </c>
      <c r="H112" s="1">
        <v>1</v>
      </c>
      <c r="O112" s="181">
        <v>158.1</v>
      </c>
      <c r="P112" s="184">
        <v>240.89</v>
      </c>
      <c r="Q112" s="32"/>
      <c r="R112" s="192">
        <v>144.41999999999999</v>
      </c>
      <c r="S112" s="195">
        <v>76.42</v>
      </c>
      <c r="T112" s="238">
        <v>97.62</v>
      </c>
      <c r="U112" s="347">
        <v>51.86</v>
      </c>
      <c r="V112" s="212">
        <v>84.76</v>
      </c>
      <c r="W112" s="32"/>
      <c r="X112" s="32"/>
      <c r="Y112" s="32"/>
      <c r="Z112" s="32"/>
      <c r="AA112" s="8">
        <f t="shared" si="25"/>
        <v>854.06999999999994</v>
      </c>
      <c r="AB112" s="1">
        <f t="shared" si="26"/>
        <v>7</v>
      </c>
      <c r="AC112" s="31">
        <f t="shared" si="27"/>
        <v>122.00999999999999</v>
      </c>
      <c r="AE112" s="321">
        <f t="shared" si="16"/>
        <v>0</v>
      </c>
      <c r="AF112" s="321">
        <f t="shared" si="29"/>
        <v>0</v>
      </c>
      <c r="AG112" s="321">
        <f t="shared" si="29"/>
        <v>0</v>
      </c>
      <c r="AH112" s="321">
        <f t="shared" si="29"/>
        <v>0</v>
      </c>
      <c r="AI112" s="321">
        <f t="shared" si="29"/>
        <v>0</v>
      </c>
      <c r="AJ112" s="321">
        <f t="shared" si="29"/>
        <v>0</v>
      </c>
      <c r="AK112" s="321">
        <f t="shared" si="29"/>
        <v>0</v>
      </c>
      <c r="AL112" s="321">
        <f t="shared" si="29"/>
        <v>0</v>
      </c>
      <c r="AM112" s="321">
        <f t="shared" si="29"/>
        <v>0</v>
      </c>
      <c r="AN112" s="321">
        <f t="shared" si="29"/>
        <v>0</v>
      </c>
      <c r="AO112" s="321">
        <f t="shared" si="29"/>
        <v>717.44999999999993</v>
      </c>
      <c r="AP112" s="70">
        <f t="shared" si="21"/>
        <v>717.44999999999993</v>
      </c>
      <c r="AQ112" s="321">
        <f t="shared" si="22"/>
        <v>717.44999999999993</v>
      </c>
      <c r="AR112" s="331">
        <f t="shared" si="28"/>
        <v>0</v>
      </c>
    </row>
    <row r="113" spans="1:44" ht="10.5">
      <c r="A113" s="1" t="s">
        <v>705</v>
      </c>
      <c r="B113" s="4">
        <v>15055103</v>
      </c>
      <c r="C113" s="1" t="s">
        <v>693</v>
      </c>
      <c r="D113" s="1" t="s">
        <v>693</v>
      </c>
      <c r="H113" s="1">
        <v>1</v>
      </c>
      <c r="O113" s="180">
        <v>410.76</v>
      </c>
      <c r="P113" s="185">
        <v>123.16</v>
      </c>
      <c r="Q113" s="233">
        <v>47.6</v>
      </c>
      <c r="R113" s="193">
        <v>312.8</v>
      </c>
      <c r="S113" s="196">
        <v>327.27999999999997</v>
      </c>
      <c r="T113" s="240">
        <v>63.32</v>
      </c>
      <c r="U113" s="348">
        <v>362.95</v>
      </c>
      <c r="V113" s="211">
        <v>78.430000000000007</v>
      </c>
      <c r="W113" s="351">
        <v>270.3</v>
      </c>
      <c r="X113" s="222">
        <v>222.7</v>
      </c>
      <c r="Y113" s="136"/>
      <c r="Z113" s="32"/>
      <c r="AA113" s="8">
        <f t="shared" si="25"/>
        <v>2219.2999999999997</v>
      </c>
      <c r="AB113" s="1">
        <f t="shared" si="26"/>
        <v>10</v>
      </c>
      <c r="AC113" s="31">
        <f t="shared" si="27"/>
        <v>221.92999999999998</v>
      </c>
      <c r="AE113" s="321">
        <f t="shared" si="16"/>
        <v>0</v>
      </c>
      <c r="AF113" s="321">
        <f t="shared" si="29"/>
        <v>0</v>
      </c>
      <c r="AG113" s="321">
        <f t="shared" si="29"/>
        <v>0</v>
      </c>
      <c r="AH113" s="321">
        <f t="shared" si="29"/>
        <v>0</v>
      </c>
      <c r="AI113" s="321">
        <f t="shared" si="29"/>
        <v>0</v>
      </c>
      <c r="AJ113" s="321">
        <f t="shared" si="29"/>
        <v>0</v>
      </c>
      <c r="AK113" s="321">
        <f t="shared" si="29"/>
        <v>0</v>
      </c>
      <c r="AL113" s="321">
        <f t="shared" si="29"/>
        <v>0</v>
      </c>
      <c r="AM113" s="321">
        <f t="shared" si="29"/>
        <v>0</v>
      </c>
      <c r="AN113" s="321">
        <f t="shared" si="29"/>
        <v>0</v>
      </c>
      <c r="AO113" s="321">
        <f t="shared" si="29"/>
        <v>1284.9199999999998</v>
      </c>
      <c r="AP113" s="70">
        <f t="shared" si="21"/>
        <v>1284.9199999999998</v>
      </c>
      <c r="AQ113" s="321">
        <f t="shared" si="22"/>
        <v>1284.9199999999998</v>
      </c>
      <c r="AR113" s="331">
        <f t="shared" si="28"/>
        <v>0</v>
      </c>
    </row>
    <row r="114" spans="1:44" ht="10.5">
      <c r="A114" s="1" t="s">
        <v>705</v>
      </c>
      <c r="B114" s="4">
        <v>15055433</v>
      </c>
      <c r="C114" s="1" t="s">
        <v>706</v>
      </c>
      <c r="D114" s="1" t="s">
        <v>706</v>
      </c>
      <c r="H114" s="1">
        <v>1</v>
      </c>
      <c r="O114" s="181"/>
      <c r="P114" s="184"/>
      <c r="Q114" s="229"/>
      <c r="R114" s="192"/>
      <c r="S114" s="195"/>
      <c r="T114" s="238"/>
      <c r="U114" s="306"/>
      <c r="V114" s="212"/>
      <c r="W114" s="350"/>
      <c r="X114" s="220"/>
      <c r="Y114" s="304"/>
      <c r="AA114" s="8">
        <f t="shared" si="25"/>
        <v>0</v>
      </c>
      <c r="AB114" s="8">
        <f t="shared" si="26"/>
        <v>0</v>
      </c>
      <c r="AC114" s="8">
        <f t="shared" si="27"/>
        <v>0</v>
      </c>
      <c r="AE114" s="321">
        <f t="shared" si="16"/>
        <v>0</v>
      </c>
      <c r="AF114" s="321">
        <f t="shared" si="29"/>
        <v>0</v>
      </c>
      <c r="AG114" s="321">
        <f t="shared" si="29"/>
        <v>0</v>
      </c>
      <c r="AH114" s="321">
        <f t="shared" si="29"/>
        <v>0</v>
      </c>
      <c r="AI114" s="321">
        <f t="shared" si="29"/>
        <v>0</v>
      </c>
      <c r="AJ114" s="321">
        <f t="shared" si="29"/>
        <v>0</v>
      </c>
      <c r="AK114" s="321">
        <f t="shared" si="29"/>
        <v>0</v>
      </c>
      <c r="AL114" s="321">
        <f t="shared" si="29"/>
        <v>0</v>
      </c>
      <c r="AM114" s="321">
        <f t="shared" si="29"/>
        <v>0</v>
      </c>
      <c r="AN114" s="321">
        <f t="shared" si="29"/>
        <v>0</v>
      </c>
      <c r="AO114" s="321">
        <f t="shared" si="29"/>
        <v>0</v>
      </c>
      <c r="AP114" s="70">
        <f t="shared" si="21"/>
        <v>0</v>
      </c>
      <c r="AQ114" s="321">
        <f t="shared" si="22"/>
        <v>0</v>
      </c>
      <c r="AR114" s="331">
        <f t="shared" si="28"/>
        <v>0</v>
      </c>
    </row>
    <row r="115" spans="1:44" ht="10.5">
      <c r="A115" s="1" t="s">
        <v>705</v>
      </c>
      <c r="B115" s="4">
        <v>15056636</v>
      </c>
      <c r="C115" s="1" t="s">
        <v>712</v>
      </c>
      <c r="D115" s="1" t="s">
        <v>712</v>
      </c>
      <c r="H115" s="1">
        <v>1</v>
      </c>
      <c r="O115" s="180">
        <v>398.92</v>
      </c>
      <c r="P115" s="136"/>
      <c r="Q115" s="233">
        <v>59.5</v>
      </c>
      <c r="R115" s="193">
        <v>282.63</v>
      </c>
      <c r="S115" s="136"/>
      <c r="T115" s="136"/>
      <c r="U115" s="136"/>
      <c r="V115" s="136"/>
      <c r="W115" s="136"/>
      <c r="X115" s="220">
        <v>215.31</v>
      </c>
      <c r="Y115" s="304">
        <v>252.71</v>
      </c>
      <c r="Z115" s="32"/>
      <c r="AA115" s="8">
        <f t="shared" si="25"/>
        <v>1209.07</v>
      </c>
      <c r="AB115" s="1">
        <f t="shared" si="26"/>
        <v>5</v>
      </c>
      <c r="AC115" s="31">
        <f t="shared" si="27"/>
        <v>241.81399999999999</v>
      </c>
      <c r="AE115" s="321">
        <f t="shared" si="16"/>
        <v>0</v>
      </c>
      <c r="AF115" s="321">
        <f t="shared" si="29"/>
        <v>0</v>
      </c>
      <c r="AG115" s="321">
        <f t="shared" si="29"/>
        <v>0</v>
      </c>
      <c r="AH115" s="321">
        <f t="shared" si="29"/>
        <v>0</v>
      </c>
      <c r="AI115" s="321">
        <f t="shared" si="29"/>
        <v>0</v>
      </c>
      <c r="AJ115" s="321">
        <f t="shared" si="29"/>
        <v>0</v>
      </c>
      <c r="AK115" s="321">
        <f t="shared" si="29"/>
        <v>0</v>
      </c>
      <c r="AL115" s="321">
        <f t="shared" si="29"/>
        <v>0</v>
      </c>
      <c r="AM115" s="321">
        <f t="shared" si="29"/>
        <v>0</v>
      </c>
      <c r="AN115" s="321">
        <f t="shared" si="29"/>
        <v>0</v>
      </c>
      <c r="AO115" s="321">
        <f t="shared" si="29"/>
        <v>741.05</v>
      </c>
      <c r="AP115" s="70">
        <f t="shared" si="21"/>
        <v>741.05</v>
      </c>
      <c r="AQ115" s="321">
        <f t="shared" si="22"/>
        <v>741.05</v>
      </c>
      <c r="AR115" s="331">
        <f t="shared" si="28"/>
        <v>0</v>
      </c>
    </row>
    <row r="116" spans="1:44" ht="10.5">
      <c r="A116" s="1" t="s">
        <v>533</v>
      </c>
      <c r="B116" s="42">
        <v>15055141</v>
      </c>
      <c r="C116" s="11" t="s">
        <v>695</v>
      </c>
      <c r="D116" s="11" t="s">
        <v>695</v>
      </c>
      <c r="E116" s="7">
        <v>2009</v>
      </c>
      <c r="F116" s="340"/>
      <c r="G116" s="1" t="s">
        <v>792</v>
      </c>
      <c r="H116" s="7">
        <v>124</v>
      </c>
      <c r="I116" s="7"/>
      <c r="K116" s="1" t="s">
        <v>433</v>
      </c>
      <c r="L116" s="1" t="s">
        <v>745</v>
      </c>
      <c r="M116" s="333" t="s">
        <v>744</v>
      </c>
      <c r="N116" s="332">
        <v>40502</v>
      </c>
      <c r="O116" s="181">
        <v>11398.91</v>
      </c>
      <c r="P116" s="184">
        <v>11320.38</v>
      </c>
      <c r="Q116" s="229">
        <v>11253.56</v>
      </c>
      <c r="R116" s="192">
        <v>11823.89</v>
      </c>
      <c r="S116" s="195">
        <v>10511.92</v>
      </c>
      <c r="T116" s="238">
        <v>9575.4699999999993</v>
      </c>
      <c r="U116" s="347">
        <v>9723.32</v>
      </c>
      <c r="V116" s="212">
        <v>10048.11</v>
      </c>
      <c r="W116" s="350">
        <v>11265.76</v>
      </c>
      <c r="X116" s="220">
        <v>11054.58</v>
      </c>
      <c r="Y116" s="304">
        <v>9021.26</v>
      </c>
      <c r="Z116" s="172">
        <v>8086.81</v>
      </c>
      <c r="AA116" s="8">
        <f t="shared" si="25"/>
        <v>125083.96999999997</v>
      </c>
      <c r="AB116" s="1">
        <f t="shared" si="26"/>
        <v>12</v>
      </c>
      <c r="AC116" s="31">
        <f t="shared" si="27"/>
        <v>10423.664166666664</v>
      </c>
      <c r="AE116" s="321">
        <f t="shared" si="16"/>
        <v>0</v>
      </c>
      <c r="AF116" s="321">
        <f t="shared" si="29"/>
        <v>0</v>
      </c>
      <c r="AG116" s="321">
        <f t="shared" si="29"/>
        <v>0</v>
      </c>
      <c r="AH116" s="321">
        <f t="shared" si="29"/>
        <v>0</v>
      </c>
      <c r="AI116" s="321">
        <f t="shared" si="29"/>
        <v>0</v>
      </c>
      <c r="AJ116" s="321">
        <f t="shared" si="29"/>
        <v>0</v>
      </c>
      <c r="AK116" s="321">
        <f t="shared" si="29"/>
        <v>65884.12999999999</v>
      </c>
      <c r="AL116" s="321">
        <f t="shared" si="29"/>
        <v>0</v>
      </c>
      <c r="AM116" s="321">
        <f t="shared" si="29"/>
        <v>0</v>
      </c>
      <c r="AN116" s="321">
        <f t="shared" si="29"/>
        <v>0</v>
      </c>
      <c r="AO116" s="321">
        <f t="shared" si="29"/>
        <v>0</v>
      </c>
      <c r="AP116" s="70">
        <f t="shared" si="21"/>
        <v>65884.12999999999</v>
      </c>
      <c r="AQ116" s="321">
        <f t="shared" si="22"/>
        <v>65884.12999999999</v>
      </c>
      <c r="AR116" s="331">
        <f t="shared" si="28"/>
        <v>0</v>
      </c>
    </row>
    <row r="117" spans="1:44" ht="10.5">
      <c r="A117" s="1" t="s">
        <v>705</v>
      </c>
      <c r="B117" s="4">
        <v>15055434</v>
      </c>
      <c r="C117" s="1" t="s">
        <v>850</v>
      </c>
      <c r="F117" s="32"/>
      <c r="G117" s="32"/>
      <c r="H117" s="32">
        <v>1</v>
      </c>
      <c r="I117" s="32"/>
      <c r="J117" s="32"/>
      <c r="K117" s="32"/>
      <c r="M117" s="333"/>
      <c r="N117" s="349"/>
      <c r="O117" s="180"/>
      <c r="P117" s="185"/>
      <c r="Q117" s="233"/>
      <c r="R117" s="193"/>
      <c r="S117" s="196"/>
      <c r="T117" s="240"/>
      <c r="U117" s="307"/>
      <c r="V117" s="211"/>
      <c r="W117" s="370">
        <v>304.47000000000003</v>
      </c>
      <c r="X117" s="370">
        <v>589.67999999999995</v>
      </c>
      <c r="Y117" s="369"/>
      <c r="Z117" s="321"/>
      <c r="AA117" s="8">
        <f t="shared" si="25"/>
        <v>894.15</v>
      </c>
      <c r="AB117" s="1">
        <f t="shared" si="26"/>
        <v>2</v>
      </c>
      <c r="AC117" s="31">
        <f t="shared" si="27"/>
        <v>447.07499999999999</v>
      </c>
      <c r="AE117" s="321">
        <f t="shared" si="16"/>
        <v>0</v>
      </c>
      <c r="AF117" s="321">
        <f t="shared" si="29"/>
        <v>0</v>
      </c>
      <c r="AG117" s="321">
        <f t="shared" si="29"/>
        <v>0</v>
      </c>
      <c r="AH117" s="321">
        <f t="shared" si="29"/>
        <v>0</v>
      </c>
      <c r="AI117" s="321">
        <f t="shared" si="29"/>
        <v>0</v>
      </c>
      <c r="AJ117" s="321">
        <f t="shared" si="29"/>
        <v>0</v>
      </c>
      <c r="AK117" s="321">
        <f t="shared" si="29"/>
        <v>0</v>
      </c>
      <c r="AL117" s="321">
        <f t="shared" si="29"/>
        <v>0</v>
      </c>
      <c r="AM117" s="321">
        <f t="shared" si="29"/>
        <v>0</v>
      </c>
      <c r="AN117" s="321">
        <f t="shared" si="29"/>
        <v>0</v>
      </c>
      <c r="AO117" s="321">
        <f t="shared" si="29"/>
        <v>0</v>
      </c>
      <c r="AP117" s="70">
        <f t="shared" si="21"/>
        <v>0</v>
      </c>
      <c r="AQ117" s="321">
        <f t="shared" si="22"/>
        <v>0</v>
      </c>
      <c r="AR117" s="331">
        <f t="shared" si="28"/>
        <v>0</v>
      </c>
    </row>
    <row r="118" spans="1:44" ht="10.5">
      <c r="A118" s="325"/>
      <c r="B118" s="325"/>
      <c r="C118" s="325" t="s">
        <v>140</v>
      </c>
      <c r="D118" s="325" t="s">
        <v>140</v>
      </c>
      <c r="E118" s="325"/>
      <c r="F118" s="341"/>
      <c r="G118" s="325"/>
      <c r="H118" s="325"/>
      <c r="I118" s="325"/>
      <c r="J118" s="325"/>
      <c r="K118" s="325"/>
      <c r="L118" s="325"/>
      <c r="M118" s="325"/>
      <c r="N118" s="325"/>
      <c r="O118" s="326">
        <f t="shared" ref="O118:AA118" si="30">+SUM(O2:O117)</f>
        <v>1475573.0499999996</v>
      </c>
      <c r="P118" s="326">
        <f t="shared" si="30"/>
        <v>1315780.4199999997</v>
      </c>
      <c r="Q118" s="326">
        <f t="shared" si="30"/>
        <v>1382993.1300000004</v>
      </c>
      <c r="R118" s="326">
        <f t="shared" si="30"/>
        <v>1760235.4100000004</v>
      </c>
      <c r="S118" s="326">
        <f t="shared" si="30"/>
        <v>1110601.45</v>
      </c>
      <c r="T118" s="326">
        <f t="shared" si="30"/>
        <v>816737.47</v>
      </c>
      <c r="U118" s="326">
        <f t="shared" si="30"/>
        <v>853987.55299999961</v>
      </c>
      <c r="V118" s="326">
        <f t="shared" si="30"/>
        <v>920482.79000000015</v>
      </c>
      <c r="W118" s="326">
        <f t="shared" si="30"/>
        <v>1312354.6000000006</v>
      </c>
      <c r="X118" s="326">
        <f t="shared" si="30"/>
        <v>1700480.2900000005</v>
      </c>
      <c r="Y118" s="326">
        <f t="shared" si="30"/>
        <v>1543461.791</v>
      </c>
      <c r="Z118" s="326">
        <f t="shared" si="30"/>
        <v>1418985.4900000002</v>
      </c>
      <c r="AA118" s="326">
        <f t="shared" si="30"/>
        <v>15609712.724000007</v>
      </c>
      <c r="AB118" s="325"/>
      <c r="AC118" s="326">
        <f t="shared" ref="AC118:AC127" si="31">+AA118/12</f>
        <v>1300809.3936666672</v>
      </c>
      <c r="AE118" s="321">
        <f t="shared" ref="AE118:AQ118" si="32">+SUM(AE2:AE117)</f>
        <v>20150.349999999999</v>
      </c>
      <c r="AF118" s="321">
        <f t="shared" si="32"/>
        <v>591943.39000000013</v>
      </c>
      <c r="AG118" s="321">
        <f t="shared" si="32"/>
        <v>1270435.99</v>
      </c>
      <c r="AH118" s="321">
        <f t="shared" si="32"/>
        <v>884653.12999999989</v>
      </c>
      <c r="AI118" s="321">
        <f t="shared" si="32"/>
        <v>230754.97999999998</v>
      </c>
      <c r="AJ118" s="321">
        <f t="shared" si="32"/>
        <v>1986234.1300000004</v>
      </c>
      <c r="AK118" s="321">
        <f t="shared" si="32"/>
        <v>502428.76</v>
      </c>
      <c r="AL118" s="321">
        <f t="shared" si="32"/>
        <v>696678.67</v>
      </c>
      <c r="AM118" s="321">
        <f t="shared" si="32"/>
        <v>778484.35999999987</v>
      </c>
      <c r="AN118" s="321">
        <f t="shared" si="32"/>
        <v>603870.01</v>
      </c>
      <c r="AO118" s="321">
        <f>+SUM(AO2:AO117)</f>
        <v>296287.16000000003</v>
      </c>
      <c r="AP118" s="321">
        <f t="shared" si="32"/>
        <v>7861920.9300000006</v>
      </c>
      <c r="AQ118" s="321">
        <f t="shared" si="32"/>
        <v>7861920.9300000006</v>
      </c>
    </row>
    <row r="119" spans="1:44" ht="10.5">
      <c r="C119" s="1" t="s">
        <v>348</v>
      </c>
      <c r="D119" s="1" t="s">
        <v>348</v>
      </c>
      <c r="O119" s="312">
        <f>-O117-O103-O98-O96-O89-O82-O54-O51-O44-O41-O14-O11-O9-O106</f>
        <v>-157682.24999999997</v>
      </c>
      <c r="P119" s="312">
        <f>-P117-P114-P109-P103-P101-P99-P98-P96-P82-P58-P54-P51-P47-P41-P23-P13-P14-P11-P10-P106</f>
        <v>-253217.24000000002</v>
      </c>
      <c r="Q119" s="312">
        <f>-Q117-Q111-Q103-Q101-Q98-Q96-Q82-Q51-Q41-Q23-Q13-Q14-Q11-Q9</f>
        <v>-84725.049999999988</v>
      </c>
      <c r="R119" s="312">
        <f>-R117-R109-R107-R101-R96-R82-R68-R51-R47-R23-R14-R11-R10-R9-R88</f>
        <v>-209232.34000000003</v>
      </c>
      <c r="S119" s="312">
        <f>-S7-S8-S9-S10-S11-S12-S15-S16-S18-S20-S22-S23-S24-S25-S27-S30-S31-S32-S33-S34-S35-S36-S38-S41-S42-S44-S46-S48-S49-S50-S51-S52-S54-S59-S60-S65-S67-S69-S71-S72-S76-S88-S91-S98-S102-S85-S95-S96-S101-S103-S104-S105-S108-S109-S110-S114-S115-S116-S117</f>
        <v>-479176.22999999992</v>
      </c>
      <c r="T119" s="312">
        <f>-T9-T10-T11-T16-T17-T23-T48-T51-T52-T85-T88-T91-T93-T96-T101-T102-T103-T107-T114-T115-T109</f>
        <v>-115097.58999999998</v>
      </c>
      <c r="U119" s="312">
        <f>-U2-U9-U10-U16-U43-U51-U53-U54-U57-U85-U88-U91-U93-U95-U87-U96-U98-U101-U102-U103-U104-U105-U106-U107-U114-U115-U116</f>
        <v>-171541.54</v>
      </c>
      <c r="V119" s="312">
        <f>-V10-V16-V23-V44-V51-V54-V57-V85-V88-V89-V91-V94-V95-V97-V98-V101-V102-V104-V105-V106-V107-V109-V84</f>
        <v>-141892.30000000002</v>
      </c>
      <c r="W119" s="68">
        <f>-W9-W10-W16-W17-W23-W39-W44-W51-W54-W85-W88-W89-W94-W95-W97-W98-W101-W102-W104-W105-W106-W107-W109-W111-W114-W115-W103-W96-W86-W87</f>
        <v>-229739.93999999994</v>
      </c>
      <c r="X119" s="68">
        <f>-X9-X10-X44-X46-X54-X66-X85-X89--X95-X90-X97-X101-X102-X104-X105-X106-X107-X109-X111-X115</f>
        <v>-201725.56999999998</v>
      </c>
      <c r="Y119" s="68">
        <f>+(Y9+Y11+Y17+Y23+Y31+Y44+Y46+Y47+Y54+Y60+Y82+Y85+Y86+Y90+Y95+Y96+Y97+Y98+Y101+Y102+Y104+Y105+Y106+Y107+Y109+Y110+Y111+Y112+Y115+Y117)*-1</f>
        <v>-373336.93</v>
      </c>
      <c r="Z119" s="68">
        <f>-Z9-Z11-Z17-Z23-Z44-Z59-Z61-Z85-Z86-Z90-Z94-Z95-Z96-Z97-Z98-Z101-Z102-Z103-Z104-Z105-Z106-Z107-Z109-Z110-Z111-Z112-Z114-Z115</f>
        <v>-292444.45</v>
      </c>
      <c r="AA119" s="31">
        <f t="shared" ref="AA119:AA127" si="33">+SUM(O119:Z119)</f>
        <v>-2709811.43</v>
      </c>
      <c r="AC119" s="32">
        <f t="shared" si="31"/>
        <v>-225817.61916666667</v>
      </c>
      <c r="AE119" s="321"/>
      <c r="AF119" s="321"/>
      <c r="AG119" s="321"/>
      <c r="AH119" s="321"/>
      <c r="AI119" s="321"/>
      <c r="AJ119" s="321"/>
      <c r="AK119" s="321"/>
      <c r="AL119" s="321"/>
      <c r="AM119" s="321"/>
      <c r="AN119" s="321"/>
      <c r="AO119" s="321"/>
      <c r="AP119" s="321"/>
    </row>
    <row r="120" spans="1:44">
      <c r="C120" s="1" t="s">
        <v>349</v>
      </c>
      <c r="D120" s="1" t="s">
        <v>349</v>
      </c>
      <c r="O120" s="68">
        <f>'2017'!Q19+'2017'!Q20+'2017'!P20+'2017'!O20+'2017'!N20+'2017'!Q86+'2017'!Q83+'2017'!Q49</f>
        <v>58850.97</v>
      </c>
      <c r="P120" s="68">
        <f>O54+O44+'2017'!Q9+'2017'!P9+'2017'!O9+'2017'!N9+'2017'!M9+'2017'!Q42+'2017'!P42+'2017'!O42+'2017'!N42+'2017'!M42+'2017'!L42+'2017'!Q52+'2017'!N52</f>
        <v>99770.440000000017</v>
      </c>
      <c r="Q120" s="68">
        <f>SUM('2016'!F91:Q91)+SUM('2017'!F95:Q95)+'2018'!O106+'2018'!P106+'2018'!P54+'2018'!P51+'2018'!O51+'2018'!P10</f>
        <v>157692.90000000002</v>
      </c>
      <c r="R120" s="68">
        <f>Q51+Q14+P14+O14+Q11</f>
        <v>43012.91</v>
      </c>
      <c r="S120" s="68">
        <f>R14</f>
        <v>0</v>
      </c>
      <c r="T120" s="68">
        <f>S116+S105+S104+S102+S98+S91+S76+S72+S71+S69+S67+S65+S60+S59+S54+S52+S50+S49+S48+S46+S44+S42+S38+S36+S35+S34+S33+S32+S31+S30+S27+S25+S24+S22+S20+S18+S15+S12+R10+S8+S7</f>
        <v>397017.99000000005</v>
      </c>
      <c r="U120" s="68">
        <f>+S10+P23+Q23+R23+S23+T23+T48+R88+S88+T88+R109+S109+T109</f>
        <v>119840.26000000001</v>
      </c>
      <c r="V120" s="68">
        <f>U53+U43+T10+U9+T9+S9+R9+Q9+O9+U2</f>
        <v>67475.789999999994</v>
      </c>
      <c r="W120" s="68">
        <f>+U10+U93+V84</f>
        <v>21775.86</v>
      </c>
      <c r="X120" s="68">
        <f>+W10+V23+W23+W39+V54+W54+W86+U87+W87+W96+W103+V10</f>
        <v>95048.81</v>
      </c>
      <c r="Y120" s="68">
        <f>+X10+S16+T16+U16+V16+W16+R51+S51+T51+U51+V51+W51+U54+X66+X115</f>
        <v>176908.47</v>
      </c>
      <c r="Z120" s="68">
        <f>+X46+Y46+Y60+Y96</f>
        <v>33405.620000000003</v>
      </c>
      <c r="AA120" s="31">
        <f t="shared" si="33"/>
        <v>1270800.0200000003</v>
      </c>
      <c r="AC120" s="32">
        <f t="shared" si="31"/>
        <v>105900.00166666669</v>
      </c>
      <c r="AP120" s="70"/>
    </row>
    <row r="121" spans="1:44">
      <c r="C121" s="1" t="s">
        <v>301</v>
      </c>
      <c r="D121" s="1" t="s">
        <v>301</v>
      </c>
      <c r="O121" s="69">
        <f t="shared" ref="O121:Z121" si="34">+SUM(O118:O120)</f>
        <v>1376741.7699999996</v>
      </c>
      <c r="P121" s="69">
        <f t="shared" si="34"/>
        <v>1162333.6199999996</v>
      </c>
      <c r="Q121" s="69">
        <f t="shared" si="34"/>
        <v>1455960.9800000004</v>
      </c>
      <c r="R121" s="69">
        <f t="shared" si="34"/>
        <v>1594015.9800000002</v>
      </c>
      <c r="S121" s="69">
        <f t="shared" si="34"/>
        <v>631425.22</v>
      </c>
      <c r="T121" s="69">
        <f t="shared" si="34"/>
        <v>1098657.8700000001</v>
      </c>
      <c r="U121" s="69">
        <f t="shared" si="34"/>
        <v>802286.27299999958</v>
      </c>
      <c r="V121" s="69">
        <f t="shared" si="34"/>
        <v>846066.28000000014</v>
      </c>
      <c r="W121" s="69">
        <f t="shared" si="34"/>
        <v>1104390.5200000007</v>
      </c>
      <c r="X121" s="69">
        <f t="shared" si="34"/>
        <v>1593803.5300000005</v>
      </c>
      <c r="Y121" s="69">
        <f t="shared" si="34"/>
        <v>1347033.331</v>
      </c>
      <c r="Z121" s="69">
        <f t="shared" si="34"/>
        <v>1159946.6600000004</v>
      </c>
      <c r="AA121" s="34">
        <f t="shared" si="33"/>
        <v>14172662.034000002</v>
      </c>
      <c r="AC121" s="34">
        <f t="shared" si="31"/>
        <v>1181055.1695000001</v>
      </c>
    </row>
    <row r="122" spans="1:44">
      <c r="C122" s="67" t="s">
        <v>304</v>
      </c>
      <c r="D122" s="67" t="s">
        <v>304</v>
      </c>
      <c r="E122" s="67"/>
      <c r="G122" s="67"/>
      <c r="H122" s="67"/>
      <c r="I122" s="67"/>
      <c r="J122" s="67"/>
      <c r="K122" s="67"/>
      <c r="L122" s="67"/>
      <c r="M122" s="67"/>
      <c r="N122" s="67"/>
      <c r="O122" s="68">
        <f t="shared" ref="O122:Z122" si="35">+O121/8.5*4</f>
        <v>647878.47999999975</v>
      </c>
      <c r="P122" s="68">
        <f t="shared" si="35"/>
        <v>546980.52705882338</v>
      </c>
      <c r="Q122" s="68">
        <f t="shared" si="35"/>
        <v>685158.10823529435</v>
      </c>
      <c r="R122" s="68">
        <f t="shared" si="35"/>
        <v>750125.16705882363</v>
      </c>
      <c r="S122" s="68">
        <f t="shared" si="35"/>
        <v>297141.27999999997</v>
      </c>
      <c r="T122" s="68">
        <f t="shared" si="35"/>
        <v>517015.46823529416</v>
      </c>
      <c r="U122" s="68">
        <f t="shared" si="35"/>
        <v>377546.48141176451</v>
      </c>
      <c r="V122" s="68">
        <f t="shared" si="35"/>
        <v>398148.83764705888</v>
      </c>
      <c r="W122" s="68">
        <f t="shared" si="35"/>
        <v>519713.18588235328</v>
      </c>
      <c r="X122" s="68">
        <f t="shared" si="35"/>
        <v>750025.19058823551</v>
      </c>
      <c r="Y122" s="68">
        <f t="shared" si="35"/>
        <v>633898.03811764705</v>
      </c>
      <c r="Z122" s="68">
        <f t="shared" si="35"/>
        <v>545857.2517647061</v>
      </c>
      <c r="AA122" s="31">
        <f t="shared" si="33"/>
        <v>6669488.0160000008</v>
      </c>
      <c r="AC122" s="32">
        <f t="shared" si="31"/>
        <v>555790.66800000006</v>
      </c>
    </row>
    <row r="123" spans="1:44">
      <c r="C123" s="67" t="s">
        <v>305</v>
      </c>
      <c r="D123" s="67" t="s">
        <v>305</v>
      </c>
      <c r="E123" s="67"/>
      <c r="G123" s="67"/>
      <c r="H123" s="67"/>
      <c r="I123" s="67"/>
      <c r="J123" s="67"/>
      <c r="K123" s="67"/>
      <c r="L123" s="67"/>
      <c r="M123" s="67"/>
      <c r="N123" s="67"/>
      <c r="O123" s="68">
        <f t="shared" ref="O123:Z123" si="36">+O121/8.5*2</f>
        <v>323939.23999999987</v>
      </c>
      <c r="P123" s="68">
        <f t="shared" si="36"/>
        <v>273490.26352941169</v>
      </c>
      <c r="Q123" s="68">
        <f t="shared" si="36"/>
        <v>342579.05411764717</v>
      </c>
      <c r="R123" s="68">
        <f t="shared" si="36"/>
        <v>375062.58352941182</v>
      </c>
      <c r="S123" s="68">
        <f t="shared" si="36"/>
        <v>148570.63999999998</v>
      </c>
      <c r="T123" s="68">
        <f t="shared" si="36"/>
        <v>258507.73411764708</v>
      </c>
      <c r="U123" s="68">
        <f t="shared" si="36"/>
        <v>188773.24070588226</v>
      </c>
      <c r="V123" s="68">
        <f t="shared" si="36"/>
        <v>199074.41882352944</v>
      </c>
      <c r="W123" s="68">
        <f t="shared" si="36"/>
        <v>259856.59294117664</v>
      </c>
      <c r="X123" s="68">
        <f t="shared" si="36"/>
        <v>375012.59529411775</v>
      </c>
      <c r="Y123" s="68">
        <f t="shared" si="36"/>
        <v>316949.01905882353</v>
      </c>
      <c r="Z123" s="68">
        <f t="shared" si="36"/>
        <v>272928.62588235305</v>
      </c>
      <c r="AA123" s="31">
        <f t="shared" si="33"/>
        <v>3334744.0080000004</v>
      </c>
      <c r="AC123" s="32">
        <f t="shared" si="31"/>
        <v>277895.33400000003</v>
      </c>
    </row>
    <row r="124" spans="1:44">
      <c r="C124" s="1" t="s">
        <v>302</v>
      </c>
      <c r="D124" s="1" t="s">
        <v>302</v>
      </c>
      <c r="O124" s="312">
        <f t="shared" ref="O124:Z124" si="37">+O123*0.01</f>
        <v>3239.3923999999988</v>
      </c>
      <c r="P124" s="312">
        <f t="shared" si="37"/>
        <v>2734.9026352941169</v>
      </c>
      <c r="Q124" s="312">
        <f t="shared" si="37"/>
        <v>3425.7905411764718</v>
      </c>
      <c r="R124" s="68">
        <f t="shared" si="37"/>
        <v>3750.6258352941181</v>
      </c>
      <c r="S124" s="68">
        <f t="shared" si="37"/>
        <v>1485.7063999999998</v>
      </c>
      <c r="T124" s="68">
        <f t="shared" si="37"/>
        <v>2585.0773411764708</v>
      </c>
      <c r="U124" s="68">
        <f t="shared" si="37"/>
        <v>1887.7324070588227</v>
      </c>
      <c r="V124" s="68">
        <f t="shared" si="37"/>
        <v>1990.7441882352944</v>
      </c>
      <c r="W124" s="68">
        <f t="shared" si="37"/>
        <v>2598.5659294117663</v>
      </c>
      <c r="X124" s="68">
        <f t="shared" si="37"/>
        <v>3750.1259529411777</v>
      </c>
      <c r="Y124" s="68">
        <f t="shared" si="37"/>
        <v>3169.4901905882352</v>
      </c>
      <c r="Z124" s="68">
        <f t="shared" si="37"/>
        <v>2729.2862588235307</v>
      </c>
      <c r="AA124" s="31">
        <f t="shared" si="33"/>
        <v>33347.44008</v>
      </c>
      <c r="AC124" s="32">
        <f t="shared" si="31"/>
        <v>2778.95334</v>
      </c>
    </row>
    <row r="125" spans="1:44">
      <c r="C125" s="1" t="s">
        <v>702</v>
      </c>
      <c r="D125" s="1" t="s">
        <v>702</v>
      </c>
      <c r="O125" s="68">
        <f t="shared" ref="O125:Z125" si="38">+O121/8.5*2</f>
        <v>323939.23999999987</v>
      </c>
      <c r="P125" s="68">
        <f t="shared" si="38"/>
        <v>273490.26352941169</v>
      </c>
      <c r="Q125" s="68">
        <f t="shared" si="38"/>
        <v>342579.05411764717</v>
      </c>
      <c r="R125" s="68">
        <f t="shared" si="38"/>
        <v>375062.58352941182</v>
      </c>
      <c r="S125" s="68">
        <f t="shared" si="38"/>
        <v>148570.63999999998</v>
      </c>
      <c r="T125" s="68">
        <f t="shared" si="38"/>
        <v>258507.73411764708</v>
      </c>
      <c r="U125" s="68">
        <f t="shared" si="38"/>
        <v>188773.24070588226</v>
      </c>
      <c r="V125" s="68">
        <f t="shared" si="38"/>
        <v>199074.41882352944</v>
      </c>
      <c r="W125" s="68">
        <f t="shared" si="38"/>
        <v>259856.59294117664</v>
      </c>
      <c r="X125" s="68">
        <f t="shared" si="38"/>
        <v>375012.59529411775</v>
      </c>
      <c r="Y125" s="68">
        <f t="shared" si="38"/>
        <v>316949.01905882353</v>
      </c>
      <c r="Z125" s="68">
        <f t="shared" si="38"/>
        <v>272928.62588235305</v>
      </c>
      <c r="AA125" s="31">
        <f t="shared" si="33"/>
        <v>3334744.0080000004</v>
      </c>
      <c r="AC125" s="32">
        <f t="shared" si="31"/>
        <v>277895.33400000003</v>
      </c>
    </row>
    <row r="126" spans="1:44">
      <c r="C126" s="1" t="s">
        <v>703</v>
      </c>
      <c r="D126" s="1" t="s">
        <v>703</v>
      </c>
      <c r="O126" s="68">
        <f t="shared" ref="O126:Z126" si="39">+O121/8.5*0.5</f>
        <v>80984.809999999969</v>
      </c>
      <c r="P126" s="68">
        <f t="shared" si="39"/>
        <v>68372.565882352923</v>
      </c>
      <c r="Q126" s="68">
        <f t="shared" si="39"/>
        <v>85644.763529411794</v>
      </c>
      <c r="R126" s="68">
        <f t="shared" si="39"/>
        <v>93765.645882352954</v>
      </c>
      <c r="S126" s="68">
        <f t="shared" si="39"/>
        <v>37142.659999999996</v>
      </c>
      <c r="T126" s="68">
        <f t="shared" si="39"/>
        <v>64626.93352941177</v>
      </c>
      <c r="U126" s="68">
        <f t="shared" si="39"/>
        <v>47193.310176470564</v>
      </c>
      <c r="V126" s="68">
        <f t="shared" si="39"/>
        <v>49768.604705882361</v>
      </c>
      <c r="W126" s="68">
        <f t="shared" si="39"/>
        <v>64964.14823529416</v>
      </c>
      <c r="X126" s="68">
        <f t="shared" si="39"/>
        <v>93753.148823529438</v>
      </c>
      <c r="Y126" s="68">
        <f t="shared" si="39"/>
        <v>79237.254764705882</v>
      </c>
      <c r="Z126" s="68">
        <f t="shared" si="39"/>
        <v>68232.156470588263</v>
      </c>
      <c r="AA126" s="31">
        <f t="shared" si="33"/>
        <v>833686.00200000009</v>
      </c>
      <c r="AC126" s="32">
        <f t="shared" si="31"/>
        <v>69473.833500000008</v>
      </c>
    </row>
    <row r="127" spans="1:44">
      <c r="C127" s="1" t="s">
        <v>303</v>
      </c>
      <c r="D127" s="1" t="s">
        <v>303</v>
      </c>
      <c r="O127" s="71">
        <f t="shared" ref="O127:Z127" si="40">+O122-O124</f>
        <v>644639.08759999974</v>
      </c>
      <c r="P127" s="71">
        <f t="shared" si="40"/>
        <v>544245.62442352925</v>
      </c>
      <c r="Q127" s="71">
        <f t="shared" si="40"/>
        <v>681732.3176941179</v>
      </c>
      <c r="R127" s="71">
        <f t="shared" si="40"/>
        <v>746374.54122352949</v>
      </c>
      <c r="S127" s="71">
        <f t="shared" si="40"/>
        <v>295655.57359999995</v>
      </c>
      <c r="T127" s="71">
        <f t="shared" si="40"/>
        <v>514430.39089411771</v>
      </c>
      <c r="U127" s="71">
        <f t="shared" si="40"/>
        <v>375658.74900470569</v>
      </c>
      <c r="V127" s="71">
        <f t="shared" si="40"/>
        <v>396158.09345882357</v>
      </c>
      <c r="W127" s="71">
        <f t="shared" si="40"/>
        <v>517114.61995294149</v>
      </c>
      <c r="X127" s="71">
        <f t="shared" si="40"/>
        <v>746275.06463529437</v>
      </c>
      <c r="Y127" s="71">
        <f t="shared" si="40"/>
        <v>630728.54792705877</v>
      </c>
      <c r="Z127" s="71">
        <f t="shared" si="40"/>
        <v>543127.96550588252</v>
      </c>
      <c r="AA127" s="34">
        <f t="shared" si="33"/>
        <v>6636140.5759199997</v>
      </c>
      <c r="AC127" s="32">
        <f t="shared" si="31"/>
        <v>553011.71465999994</v>
      </c>
    </row>
    <row r="128" spans="1:44">
      <c r="O128" s="10"/>
      <c r="P128" s="70"/>
      <c r="Q128" s="70"/>
      <c r="R128" s="70"/>
      <c r="S128" s="70"/>
      <c r="T128" s="68"/>
      <c r="U128" s="70"/>
      <c r="W128" s="70"/>
      <c r="X128" s="68"/>
      <c r="AA128" s="31"/>
    </row>
    <row r="129" spans="2:27">
      <c r="D129" s="1" t="s">
        <v>637</v>
      </c>
      <c r="O129" s="70">
        <v>699156.88</v>
      </c>
      <c r="P129" s="70">
        <v>622604.59</v>
      </c>
      <c r="Q129" s="70">
        <v>666704.54</v>
      </c>
      <c r="R129" s="70">
        <v>801984.45</v>
      </c>
      <c r="S129" s="70">
        <v>220392.57</v>
      </c>
      <c r="T129" s="70">
        <v>651675.87</v>
      </c>
      <c r="U129" s="70">
        <v>382321.28</v>
      </c>
      <c r="V129" s="70">
        <v>425423.73</v>
      </c>
      <c r="W129" s="70">
        <v>589600.72</v>
      </c>
      <c r="X129" s="70">
        <v>800421.52</v>
      </c>
      <c r="Y129" s="70"/>
      <c r="Z129" s="8"/>
      <c r="AA129" s="70">
        <f>SUM(O129:Z129)</f>
        <v>5860286.1500000004</v>
      </c>
    </row>
    <row r="130" spans="2:27">
      <c r="D130" s="1" t="s">
        <v>648</v>
      </c>
      <c r="O130" s="70">
        <f t="shared" ref="O130:Z130" si="41">O129-O127</f>
        <v>54517.792400000268</v>
      </c>
      <c r="P130" s="70">
        <f t="shared" si="41"/>
        <v>78358.965576470713</v>
      </c>
      <c r="Q130" s="70">
        <f t="shared" si="41"/>
        <v>-15027.77769411786</v>
      </c>
      <c r="R130" s="70">
        <f t="shared" si="41"/>
        <v>55609.90877647046</v>
      </c>
      <c r="S130" s="70">
        <f t="shared" si="41"/>
        <v>-75263.003599999938</v>
      </c>
      <c r="T130" s="70">
        <f t="shared" si="41"/>
        <v>137245.47910588229</v>
      </c>
      <c r="U130" s="70">
        <f t="shared" si="41"/>
        <v>6662.5309952943353</v>
      </c>
      <c r="V130" s="70">
        <f t="shared" si="41"/>
        <v>29265.636541176413</v>
      </c>
      <c r="W130" s="70">
        <f t="shared" si="41"/>
        <v>72486.100047058484</v>
      </c>
      <c r="X130" s="70">
        <f t="shared" si="41"/>
        <v>54146.455364705645</v>
      </c>
      <c r="Y130" s="70">
        <f t="shared" si="41"/>
        <v>-630728.54792705877</v>
      </c>
      <c r="Z130" s="70">
        <f t="shared" si="41"/>
        <v>-543127.96550588252</v>
      </c>
      <c r="AA130" s="70">
        <f>SUM(O130:Z130)</f>
        <v>-775854.42592000053</v>
      </c>
    </row>
    <row r="131" spans="2:27">
      <c r="C131" s="70"/>
      <c r="D131" s="70"/>
      <c r="E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8"/>
      <c r="S131" s="70"/>
      <c r="V131" s="70"/>
      <c r="W131" s="70"/>
      <c r="X131" s="70"/>
    </row>
    <row r="132" spans="2:27" s="137" customFormat="1">
      <c r="B132" s="137" t="s">
        <v>390</v>
      </c>
      <c r="F132" s="342"/>
      <c r="Y132" s="68"/>
      <c r="AA132" s="137">
        <f>+SUM(O132:Z132)</f>
        <v>0</v>
      </c>
    </row>
    <row r="133" spans="2:27" s="158" customFormat="1">
      <c r="B133" s="158" t="s">
        <v>389</v>
      </c>
      <c r="F133" s="343"/>
      <c r="V133" s="158">
        <f>+V132*0.06</f>
        <v>0</v>
      </c>
      <c r="W133" s="158">
        <f>+W132*0.06</f>
        <v>0</v>
      </c>
      <c r="X133" s="158">
        <f>+X132*0.06</f>
        <v>0</v>
      </c>
      <c r="Y133" s="158">
        <f>+Y132*0.06</f>
        <v>0</v>
      </c>
      <c r="Z133" s="158">
        <f>+Z132*0.06</f>
        <v>0</v>
      </c>
      <c r="AA133" s="137">
        <f>+SUM(O133:Z133)</f>
        <v>0</v>
      </c>
    </row>
    <row r="134" spans="2:27" s="158" customFormat="1">
      <c r="B134" s="159" t="s">
        <v>391</v>
      </c>
      <c r="C134" s="159"/>
      <c r="D134" s="159"/>
      <c r="E134" s="159"/>
      <c r="F134" s="344"/>
      <c r="G134" s="159"/>
      <c r="H134" s="159"/>
      <c r="I134" s="159"/>
      <c r="J134" s="159"/>
      <c r="K134" s="159"/>
      <c r="L134" s="159"/>
      <c r="M134" s="159"/>
      <c r="N134" s="159"/>
      <c r="O134" s="219">
        <f t="shared" ref="O134:W134" si="42">+O121-O133</f>
        <v>1376741.7699999996</v>
      </c>
      <c r="P134" s="219">
        <f t="shared" si="42"/>
        <v>1162333.6199999996</v>
      </c>
      <c r="Q134" s="219">
        <f t="shared" si="42"/>
        <v>1455960.9800000004</v>
      </c>
      <c r="R134" s="219">
        <f t="shared" si="42"/>
        <v>1594015.9800000002</v>
      </c>
      <c r="S134" s="219">
        <f t="shared" si="42"/>
        <v>631425.22</v>
      </c>
      <c r="T134" s="219">
        <f t="shared" si="42"/>
        <v>1098657.8700000001</v>
      </c>
      <c r="U134" s="219">
        <f t="shared" si="42"/>
        <v>802286.27299999958</v>
      </c>
      <c r="V134" s="219">
        <f t="shared" si="42"/>
        <v>846066.28000000014</v>
      </c>
      <c r="W134" s="219">
        <f t="shared" si="42"/>
        <v>1104390.5200000007</v>
      </c>
      <c r="X134" s="159"/>
      <c r="Y134" s="159"/>
      <c r="Z134" s="159"/>
      <c r="AA134" s="160">
        <f>+SUM(O134:Z134)</f>
        <v>10071878.513</v>
      </c>
    </row>
    <row r="135" spans="2:27" s="78" customFormat="1">
      <c r="B135" s="78" t="s">
        <v>392</v>
      </c>
      <c r="F135" s="345"/>
      <c r="O135" s="78" t="str">
        <f t="shared" ref="O135:Z135" si="43">+IF(O132=0," ",O134/O133)</f>
        <v xml:space="preserve"> </v>
      </c>
      <c r="P135" s="78" t="str">
        <f t="shared" si="43"/>
        <v xml:space="preserve"> </v>
      </c>
      <c r="Q135" s="78" t="str">
        <f t="shared" si="43"/>
        <v xml:space="preserve"> </v>
      </c>
      <c r="R135" s="78" t="str">
        <f t="shared" si="43"/>
        <v xml:space="preserve"> </v>
      </c>
      <c r="S135" s="78" t="str">
        <f t="shared" si="43"/>
        <v xml:space="preserve"> </v>
      </c>
      <c r="T135" s="78" t="str">
        <f t="shared" si="43"/>
        <v xml:space="preserve"> </v>
      </c>
      <c r="U135" s="78" t="str">
        <f t="shared" si="43"/>
        <v xml:space="preserve"> </v>
      </c>
      <c r="V135" s="78" t="str">
        <f t="shared" si="43"/>
        <v xml:space="preserve"> </v>
      </c>
      <c r="W135" s="78" t="str">
        <f t="shared" si="43"/>
        <v xml:space="preserve"> </v>
      </c>
      <c r="X135" s="78" t="str">
        <f t="shared" si="43"/>
        <v xml:space="preserve"> </v>
      </c>
      <c r="Y135" s="78" t="str">
        <f t="shared" si="43"/>
        <v xml:space="preserve"> </v>
      </c>
      <c r="Z135" s="78" t="str">
        <f t="shared" si="43"/>
        <v xml:space="preserve"> </v>
      </c>
      <c r="AA135" s="330" t="e">
        <f>+AA134/AA133</f>
        <v>#DIV/0!</v>
      </c>
    </row>
    <row r="136" spans="2:27">
      <c r="Q136" s="328"/>
    </row>
    <row r="137" spans="2:27">
      <c r="Q137" s="328"/>
    </row>
    <row r="138" spans="2:27">
      <c r="Q138" s="328"/>
    </row>
  </sheetData>
  <sortState xmlns:xlrd2="http://schemas.microsoft.com/office/spreadsheetml/2017/richdata2" ref="A2:AR117">
    <sortCondition ref="D2:D117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Q74"/>
  <sheetViews>
    <sheetView workbookViewId="0">
      <selection activeCell="B72" sqref="B72"/>
    </sheetView>
  </sheetViews>
  <sheetFormatPr defaultColWidth="9.08984375" defaultRowHeight="10"/>
  <cols>
    <col min="1" max="1" width="7.54296875" style="4" bestFit="1" customWidth="1"/>
    <col min="2" max="2" width="24.453125" style="1" bestFit="1" customWidth="1"/>
    <col min="3" max="8" width="10.6328125" style="1" bestFit="1" customWidth="1"/>
    <col min="9" max="14" width="10.6328125" style="5" bestFit="1" customWidth="1"/>
    <col min="15" max="15" width="12" style="5" bestFit="1" customWidth="1"/>
    <col min="16" max="16" width="12" style="5" hidden="1" customWidth="1"/>
    <col min="17" max="17" width="10.6328125" style="5" bestFit="1" customWidth="1"/>
    <col min="18" max="16384" width="9.08984375" style="1"/>
  </cols>
  <sheetData>
    <row r="1" spans="1:17" s="17" customFormat="1" ht="21">
      <c r="A1" s="14" t="s">
        <v>82</v>
      </c>
      <c r="B1" s="15" t="s">
        <v>0</v>
      </c>
      <c r="C1" s="16" t="s">
        <v>119</v>
      </c>
      <c r="D1" s="16" t="s">
        <v>120</v>
      </c>
      <c r="E1" s="16" t="s">
        <v>121</v>
      </c>
      <c r="F1" s="16" t="s">
        <v>122</v>
      </c>
      <c r="G1" s="16" t="s">
        <v>132</v>
      </c>
      <c r="H1" s="16" t="s">
        <v>133</v>
      </c>
      <c r="I1" s="18" t="s">
        <v>134</v>
      </c>
      <c r="J1" s="18" t="s">
        <v>135</v>
      </c>
      <c r="K1" s="19" t="s">
        <v>136</v>
      </c>
      <c r="L1" s="18" t="s">
        <v>137</v>
      </c>
      <c r="M1" s="18" t="s">
        <v>138</v>
      </c>
      <c r="N1" s="18" t="s">
        <v>139</v>
      </c>
      <c r="O1" s="26" t="s">
        <v>143</v>
      </c>
      <c r="P1" s="26"/>
      <c r="Q1" s="26" t="s">
        <v>142</v>
      </c>
    </row>
    <row r="2" spans="1:17">
      <c r="A2" s="4">
        <v>70000</v>
      </c>
      <c r="B2" s="1" t="s">
        <v>4</v>
      </c>
      <c r="C2" s="5">
        <v>947.08</v>
      </c>
      <c r="D2" s="5">
        <v>1081.71</v>
      </c>
      <c r="E2" s="5">
        <v>988.72</v>
      </c>
      <c r="F2" s="5">
        <v>1151.93</v>
      </c>
      <c r="G2" s="5">
        <v>1010.11</v>
      </c>
      <c r="H2" s="5">
        <v>1112.53</v>
      </c>
      <c r="I2" s="5">
        <v>877.89</v>
      </c>
      <c r="J2" s="5">
        <v>665.04</v>
      </c>
      <c r="K2" s="5">
        <v>610.67999999999995</v>
      </c>
      <c r="L2" s="5">
        <v>662.79</v>
      </c>
      <c r="M2" s="5">
        <v>798.75</v>
      </c>
      <c r="N2" s="5">
        <v>715.72</v>
      </c>
      <c r="O2" s="5">
        <f>SUM(C2:N2)</f>
        <v>10622.949999999999</v>
      </c>
      <c r="P2" s="5">
        <f t="shared" ref="P2:P65" si="0">+COUNT(C2:N2)</f>
        <v>12</v>
      </c>
      <c r="Q2" s="5">
        <f>+O2/P2</f>
        <v>885.24583333333328</v>
      </c>
    </row>
    <row r="3" spans="1:17">
      <c r="A3" s="4">
        <v>70001</v>
      </c>
      <c r="B3" s="1" t="s">
        <v>5</v>
      </c>
      <c r="C3" s="5">
        <v>16279.87</v>
      </c>
      <c r="D3" s="5">
        <v>8383.0400000000009</v>
      </c>
      <c r="E3" s="5">
        <v>17109.939999999999</v>
      </c>
      <c r="F3" s="5">
        <v>23842.1</v>
      </c>
      <c r="G3" s="5">
        <v>11737.32</v>
      </c>
      <c r="H3" s="5">
        <v>6894.03</v>
      </c>
      <c r="I3" s="5">
        <v>8916.61</v>
      </c>
      <c r="J3" s="5">
        <v>9471.23</v>
      </c>
      <c r="K3" s="5">
        <v>15076.21</v>
      </c>
      <c r="L3" s="5">
        <v>18981.740000000002</v>
      </c>
      <c r="M3" s="5">
        <v>13889.21</v>
      </c>
      <c r="N3" s="5">
        <v>10952.04</v>
      </c>
      <c r="O3" s="5">
        <f t="shared" ref="O3:O66" si="1">SUM(C3:N3)</f>
        <v>161533.34</v>
      </c>
      <c r="P3" s="5">
        <f t="shared" si="0"/>
        <v>12</v>
      </c>
      <c r="Q3" s="5">
        <f t="shared" ref="Q3:Q66" si="2">+O3/P3</f>
        <v>13461.111666666666</v>
      </c>
    </row>
    <row r="4" spans="1:17">
      <c r="A4" s="4">
        <v>70002</v>
      </c>
      <c r="B4" s="1" t="s">
        <v>6</v>
      </c>
      <c r="C4" s="5">
        <v>2414.67</v>
      </c>
      <c r="D4" s="5">
        <v>2307.3200000000002</v>
      </c>
      <c r="E4" s="5">
        <v>2193.81</v>
      </c>
      <c r="F4" s="5">
        <v>2693.43</v>
      </c>
      <c r="G4" s="5">
        <v>1943.95</v>
      </c>
      <c r="H4" s="5">
        <v>1659.26</v>
      </c>
      <c r="I4" s="5">
        <v>1546.11</v>
      </c>
      <c r="J4" s="5">
        <v>1680.23</v>
      </c>
      <c r="K4" s="5">
        <v>2114.7800000000002</v>
      </c>
      <c r="L4" s="5">
        <v>2184.4899999999998</v>
      </c>
      <c r="M4" s="5">
        <v>2254.19</v>
      </c>
      <c r="N4" s="5">
        <v>2671.56</v>
      </c>
      <c r="O4" s="5">
        <f t="shared" si="1"/>
        <v>25663.800000000003</v>
      </c>
      <c r="P4" s="5">
        <f t="shared" si="0"/>
        <v>12</v>
      </c>
      <c r="Q4" s="5">
        <f t="shared" si="2"/>
        <v>2138.65</v>
      </c>
    </row>
    <row r="5" spans="1:17">
      <c r="A5" s="4">
        <v>70003</v>
      </c>
      <c r="B5" s="1" t="s">
        <v>7</v>
      </c>
      <c r="C5" s="5">
        <v>1406.06</v>
      </c>
      <c r="D5" s="5">
        <v>1341.12</v>
      </c>
      <c r="E5" s="5">
        <v>1573.26</v>
      </c>
      <c r="F5" s="5">
        <v>1933.64</v>
      </c>
      <c r="G5" s="5">
        <v>1561.12</v>
      </c>
      <c r="H5" s="5">
        <v>1481.95</v>
      </c>
      <c r="I5" s="5">
        <v>1422.69</v>
      </c>
      <c r="J5" s="5">
        <v>1273.06</v>
      </c>
      <c r="K5" s="5">
        <v>1379.1</v>
      </c>
      <c r="L5" s="5">
        <v>1491.57</v>
      </c>
      <c r="M5" s="5">
        <v>1515.43</v>
      </c>
      <c r="N5" s="5">
        <v>1440.88</v>
      </c>
      <c r="O5" s="5">
        <f t="shared" si="1"/>
        <v>17819.88</v>
      </c>
      <c r="P5" s="5">
        <f t="shared" si="0"/>
        <v>12</v>
      </c>
      <c r="Q5" s="5">
        <f t="shared" si="2"/>
        <v>1484.99</v>
      </c>
    </row>
    <row r="6" spans="1:17">
      <c r="A6" s="4">
        <v>70004</v>
      </c>
      <c r="B6" s="1" t="s">
        <v>8</v>
      </c>
      <c r="C6" s="5">
        <v>2907.19</v>
      </c>
      <c r="D6" s="5">
        <v>1382.59</v>
      </c>
      <c r="E6" s="5">
        <v>1750.47</v>
      </c>
      <c r="F6" s="5">
        <v>2411.84</v>
      </c>
      <c r="G6" s="5">
        <v>1058.78</v>
      </c>
      <c r="H6" s="5">
        <v>2328.4499999999998</v>
      </c>
      <c r="I6" s="5">
        <v>1627.17</v>
      </c>
      <c r="J6" s="5">
        <v>2339.11</v>
      </c>
      <c r="K6" s="5">
        <v>2678.48</v>
      </c>
      <c r="L6" s="5">
        <v>1207.98</v>
      </c>
      <c r="M6" s="5">
        <v>1335.39</v>
      </c>
      <c r="N6" s="5">
        <v>925.89</v>
      </c>
      <c r="O6" s="5">
        <f t="shared" si="1"/>
        <v>21953.34</v>
      </c>
      <c r="P6" s="5">
        <f t="shared" si="0"/>
        <v>12</v>
      </c>
      <c r="Q6" s="5">
        <f t="shared" si="2"/>
        <v>1829.4449999999999</v>
      </c>
    </row>
    <row r="7" spans="1:17">
      <c r="A7" s="4">
        <v>70006</v>
      </c>
      <c r="B7" s="1" t="s">
        <v>9</v>
      </c>
      <c r="C7" s="5">
        <v>2380.88</v>
      </c>
      <c r="D7" s="5">
        <v>2183.65</v>
      </c>
      <c r="E7" s="5">
        <v>1580.03</v>
      </c>
      <c r="F7" s="5">
        <v>2944.3</v>
      </c>
      <c r="G7" s="5">
        <v>1915.12</v>
      </c>
      <c r="H7" s="5">
        <v>1727.28</v>
      </c>
      <c r="I7" s="5">
        <v>1434.26</v>
      </c>
      <c r="J7" s="5">
        <v>1600.29</v>
      </c>
      <c r="K7" s="5">
        <v>2668.42</v>
      </c>
      <c r="L7" s="5">
        <v>2737.32</v>
      </c>
      <c r="M7" s="5">
        <v>2698.69</v>
      </c>
      <c r="N7" s="5">
        <v>2081.17</v>
      </c>
      <c r="O7" s="5">
        <f t="shared" si="1"/>
        <v>25951.410000000003</v>
      </c>
      <c r="P7" s="5">
        <f t="shared" si="0"/>
        <v>12</v>
      </c>
      <c r="Q7" s="5">
        <f t="shared" si="2"/>
        <v>2162.6175000000003</v>
      </c>
    </row>
    <row r="8" spans="1:17">
      <c r="A8" s="4">
        <v>70007</v>
      </c>
      <c r="B8" s="1" t="s">
        <v>10</v>
      </c>
      <c r="C8" s="5">
        <v>240</v>
      </c>
      <c r="D8" s="5">
        <v>260</v>
      </c>
      <c r="E8" s="5">
        <v>270</v>
      </c>
      <c r="F8" s="5">
        <v>291.18</v>
      </c>
      <c r="G8" s="5">
        <v>324</v>
      </c>
      <c r="H8" s="5">
        <v>294</v>
      </c>
      <c r="I8" s="5">
        <v>316.5</v>
      </c>
      <c r="J8" s="5">
        <v>258</v>
      </c>
      <c r="K8" s="5">
        <v>336</v>
      </c>
      <c r="L8" s="5">
        <v>284</v>
      </c>
      <c r="M8" s="5">
        <v>306</v>
      </c>
      <c r="N8" s="5">
        <v>330</v>
      </c>
      <c r="O8" s="5">
        <f t="shared" si="1"/>
        <v>3509.6800000000003</v>
      </c>
      <c r="P8" s="5">
        <f t="shared" si="0"/>
        <v>12</v>
      </c>
      <c r="Q8" s="5">
        <f t="shared" si="2"/>
        <v>292.47333333333336</v>
      </c>
    </row>
    <row r="9" spans="1:17">
      <c r="A9" s="4">
        <v>70008</v>
      </c>
      <c r="B9" s="1" t="s">
        <v>11</v>
      </c>
      <c r="C9" s="5">
        <v>2026</v>
      </c>
      <c r="D9" s="5">
        <v>2536.9299999999998</v>
      </c>
      <c r="E9" s="5">
        <v>1769.1</v>
      </c>
      <c r="F9" s="5">
        <v>3171.96</v>
      </c>
      <c r="G9" s="5">
        <v>2323.34</v>
      </c>
      <c r="H9" s="5">
        <v>2005.91</v>
      </c>
      <c r="I9" s="5">
        <v>1695.68</v>
      </c>
      <c r="J9" s="5">
        <v>2324.36</v>
      </c>
      <c r="K9" s="5">
        <v>2730.96</v>
      </c>
      <c r="L9" s="5">
        <v>2785.8</v>
      </c>
      <c r="M9" s="5">
        <v>2797.26</v>
      </c>
      <c r="N9" s="5">
        <v>2084.7199999999998</v>
      </c>
      <c r="O9" s="5">
        <f t="shared" si="1"/>
        <v>28252.020000000004</v>
      </c>
      <c r="P9" s="5">
        <f t="shared" si="0"/>
        <v>12</v>
      </c>
      <c r="Q9" s="5">
        <f t="shared" si="2"/>
        <v>2354.3350000000005</v>
      </c>
    </row>
    <row r="10" spans="1:17">
      <c r="A10" s="4" t="s">
        <v>12</v>
      </c>
      <c r="B10" s="1" t="s">
        <v>13</v>
      </c>
      <c r="C10" s="5">
        <v>2614.79</v>
      </c>
      <c r="D10" s="5">
        <v>2506.38</v>
      </c>
      <c r="E10" s="5">
        <v>2774.35</v>
      </c>
      <c r="F10" s="5">
        <v>4394</v>
      </c>
      <c r="G10" s="5"/>
      <c r="H10" s="5">
        <v>1189.3499999999999</v>
      </c>
      <c r="I10" s="5">
        <v>1482.93</v>
      </c>
      <c r="J10" s="5">
        <v>1604.58</v>
      </c>
      <c r="K10" s="5">
        <v>2623.06</v>
      </c>
      <c r="L10" s="5">
        <v>4449.78</v>
      </c>
      <c r="M10" s="5">
        <v>3416.36</v>
      </c>
      <c r="N10" s="5">
        <v>2248.4899999999998</v>
      </c>
      <c r="O10" s="5">
        <f t="shared" si="1"/>
        <v>29304.07</v>
      </c>
      <c r="P10" s="5">
        <f t="shared" si="0"/>
        <v>11</v>
      </c>
      <c r="Q10" s="5">
        <f t="shared" si="2"/>
        <v>2664.0063636363634</v>
      </c>
    </row>
    <row r="11" spans="1:17">
      <c r="A11" s="4">
        <v>70013</v>
      </c>
      <c r="B11" s="2" t="s">
        <v>61</v>
      </c>
      <c r="C11" s="5">
        <v>5182.1400000000003</v>
      </c>
      <c r="D11" s="5">
        <v>3964.66</v>
      </c>
      <c r="E11" s="5">
        <v>4323.6000000000004</v>
      </c>
      <c r="F11" s="5">
        <v>6228.41</v>
      </c>
      <c r="G11" s="5">
        <v>5162.13</v>
      </c>
      <c r="H11" s="5">
        <v>4223.79</v>
      </c>
      <c r="I11" s="5">
        <v>3754.45</v>
      </c>
      <c r="J11" s="5">
        <v>7247.6</v>
      </c>
      <c r="K11" s="5">
        <v>4606.53</v>
      </c>
      <c r="L11" s="5">
        <v>4806.1899999999996</v>
      </c>
      <c r="M11" s="5">
        <v>4161.25</v>
      </c>
      <c r="N11" s="5">
        <v>1563.66</v>
      </c>
      <c r="O11" s="5">
        <f t="shared" si="1"/>
        <v>55224.41</v>
      </c>
      <c r="P11" s="5">
        <f t="shared" si="0"/>
        <v>12</v>
      </c>
      <c r="Q11" s="5">
        <f t="shared" si="2"/>
        <v>4602.0341666666673</v>
      </c>
    </row>
    <row r="12" spans="1:17">
      <c r="A12" s="4">
        <v>70014</v>
      </c>
      <c r="B12" s="1" t="s">
        <v>14</v>
      </c>
      <c r="C12" s="5">
        <v>10379.81</v>
      </c>
      <c r="D12" s="5">
        <v>9795.58</v>
      </c>
      <c r="E12" s="5">
        <v>8637.7800000000007</v>
      </c>
      <c r="F12" s="5">
        <v>14997.22</v>
      </c>
      <c r="G12" s="5">
        <v>10294.1</v>
      </c>
      <c r="H12" s="5">
        <v>6517.46</v>
      </c>
      <c r="I12" s="5">
        <v>7247.6</v>
      </c>
      <c r="J12" s="5">
        <v>7857.83</v>
      </c>
      <c r="K12" s="5">
        <v>11750.93</v>
      </c>
      <c r="L12" s="5">
        <v>13399.19</v>
      </c>
      <c r="M12" s="5">
        <v>12113.92</v>
      </c>
      <c r="N12" s="5">
        <v>12977.62</v>
      </c>
      <c r="O12" s="5">
        <f t="shared" si="1"/>
        <v>125969.04</v>
      </c>
      <c r="P12" s="5">
        <f t="shared" si="0"/>
        <v>12</v>
      </c>
      <c r="Q12" s="5">
        <f t="shared" si="2"/>
        <v>10497.42</v>
      </c>
    </row>
    <row r="13" spans="1:17">
      <c r="A13" s="4" t="s">
        <v>73</v>
      </c>
      <c r="B13" s="1" t="s">
        <v>63</v>
      </c>
      <c r="C13" s="5">
        <v>6796.8</v>
      </c>
      <c r="D13" s="5">
        <v>5592.48</v>
      </c>
      <c r="E13" s="5">
        <v>6703.85</v>
      </c>
      <c r="F13" s="5">
        <v>10192.89</v>
      </c>
      <c r="G13" s="5">
        <v>6898.62</v>
      </c>
      <c r="H13" s="5">
        <v>4252.03</v>
      </c>
      <c r="I13" s="5">
        <v>3544.58</v>
      </c>
      <c r="J13" s="5">
        <v>3354.53</v>
      </c>
      <c r="K13" s="5">
        <v>6021.19</v>
      </c>
      <c r="L13" s="5">
        <v>8650.9</v>
      </c>
      <c r="M13" s="5">
        <v>9023.5</v>
      </c>
      <c r="N13" s="5">
        <v>8537.3799999999992</v>
      </c>
      <c r="O13" s="5">
        <f t="shared" si="1"/>
        <v>79568.75</v>
      </c>
      <c r="P13" s="5">
        <f t="shared" si="0"/>
        <v>12</v>
      </c>
      <c r="Q13" s="5">
        <f t="shared" si="2"/>
        <v>6630.729166666667</v>
      </c>
    </row>
    <row r="14" spans="1:17">
      <c r="A14" s="4" t="s">
        <v>75</v>
      </c>
      <c r="B14" s="1" t="s">
        <v>74</v>
      </c>
      <c r="C14" s="5">
        <v>9001.9500000000007</v>
      </c>
      <c r="D14" s="5">
        <v>9661.7999999999993</v>
      </c>
      <c r="E14" s="5">
        <v>10625.05</v>
      </c>
      <c r="F14" s="5">
        <v>15935.16</v>
      </c>
      <c r="G14" s="5">
        <v>8326.68</v>
      </c>
      <c r="H14" s="5">
        <v>4846.92</v>
      </c>
      <c r="I14" s="5">
        <v>5089.08</v>
      </c>
      <c r="J14" s="5">
        <v>6040.5</v>
      </c>
      <c r="K14" s="5">
        <v>11965.08</v>
      </c>
      <c r="L14" s="5">
        <v>11638.44</v>
      </c>
      <c r="M14" s="5">
        <v>15199.98</v>
      </c>
      <c r="N14" s="5">
        <v>12829.38</v>
      </c>
      <c r="O14" s="5">
        <f t="shared" si="1"/>
        <v>121160.02</v>
      </c>
      <c r="P14" s="5">
        <f t="shared" si="0"/>
        <v>12</v>
      </c>
      <c r="Q14" s="5">
        <f t="shared" si="2"/>
        <v>10096.668333333333</v>
      </c>
    </row>
    <row r="15" spans="1:17">
      <c r="A15" s="4">
        <v>70017</v>
      </c>
      <c r="B15" s="1" t="s">
        <v>15</v>
      </c>
      <c r="C15" s="5">
        <v>23128.05</v>
      </c>
      <c r="D15" s="5">
        <v>22817.27</v>
      </c>
      <c r="E15" s="5">
        <v>23485.02</v>
      </c>
      <c r="F15" s="5">
        <v>31302.720000000001</v>
      </c>
      <c r="G15" s="5">
        <v>26940.6</v>
      </c>
      <c r="H15" s="5">
        <v>16929.88</v>
      </c>
      <c r="I15" s="5">
        <v>19767.27</v>
      </c>
      <c r="J15" s="5">
        <v>21393.119999999999</v>
      </c>
      <c r="K15" s="5">
        <v>26255.360000000001</v>
      </c>
      <c r="L15" s="5">
        <v>29662.84</v>
      </c>
      <c r="M15" s="5">
        <v>28043.96</v>
      </c>
      <c r="N15" s="5">
        <v>26192.23</v>
      </c>
      <c r="O15" s="5">
        <f t="shared" si="1"/>
        <v>295918.31999999995</v>
      </c>
      <c r="P15" s="5">
        <f t="shared" si="0"/>
        <v>12</v>
      </c>
      <c r="Q15" s="5">
        <f t="shared" si="2"/>
        <v>24659.859999999997</v>
      </c>
    </row>
    <row r="16" spans="1:17">
      <c r="A16" s="4">
        <v>70018</v>
      </c>
      <c r="B16" s="1" t="s">
        <v>16</v>
      </c>
      <c r="C16" s="5">
        <v>26495.279999999999</v>
      </c>
      <c r="D16" s="5">
        <v>24308.39</v>
      </c>
      <c r="E16" s="5">
        <v>21086.92</v>
      </c>
      <c r="F16" s="5">
        <v>28192.38</v>
      </c>
      <c r="G16" s="5">
        <v>22733.15</v>
      </c>
      <c r="H16" s="5">
        <v>14906.99</v>
      </c>
      <c r="I16" s="5">
        <v>14814.07</v>
      </c>
      <c r="J16" s="5">
        <v>16224.78</v>
      </c>
      <c r="K16" s="5">
        <v>26186.25</v>
      </c>
      <c r="L16" s="5">
        <v>30920.6</v>
      </c>
      <c r="M16" s="5">
        <v>33115.1</v>
      </c>
      <c r="N16" s="5">
        <v>29510.67</v>
      </c>
      <c r="O16" s="5">
        <f t="shared" si="1"/>
        <v>288494.58</v>
      </c>
      <c r="P16" s="5">
        <f t="shared" si="0"/>
        <v>12</v>
      </c>
      <c r="Q16" s="5">
        <f t="shared" si="2"/>
        <v>24041.215</v>
      </c>
    </row>
    <row r="17" spans="1:17">
      <c r="A17" s="4">
        <v>70019</v>
      </c>
      <c r="B17" s="1" t="s">
        <v>17</v>
      </c>
      <c r="C17" s="5">
        <v>8913.6200000000008</v>
      </c>
      <c r="D17" s="5">
        <v>8443.2099999999991</v>
      </c>
      <c r="E17" s="5">
        <v>8302.7199999999993</v>
      </c>
      <c r="F17" s="5">
        <v>11769.67</v>
      </c>
      <c r="G17" s="5">
        <v>7961.95</v>
      </c>
      <c r="H17" s="5">
        <v>6380.29</v>
      </c>
      <c r="I17" s="5">
        <v>6329.09</v>
      </c>
      <c r="J17" s="5">
        <v>6955.92</v>
      </c>
      <c r="K17" s="5">
        <v>8962.59</v>
      </c>
      <c r="L17" s="5">
        <v>10960.05</v>
      </c>
      <c r="M17" s="5">
        <v>9893.44</v>
      </c>
      <c r="N17" s="5">
        <v>10152.57</v>
      </c>
      <c r="O17" s="5">
        <f t="shared" si="1"/>
        <v>105025.12</v>
      </c>
      <c r="P17" s="5">
        <f t="shared" si="0"/>
        <v>12</v>
      </c>
      <c r="Q17" s="5">
        <f t="shared" si="2"/>
        <v>8752.0933333333323</v>
      </c>
    </row>
    <row r="18" spans="1:17">
      <c r="A18" s="4">
        <v>70020</v>
      </c>
      <c r="B18" s="1" t="s">
        <v>18</v>
      </c>
      <c r="C18" s="5">
        <v>6806.39</v>
      </c>
      <c r="D18" s="5">
        <v>6495.35</v>
      </c>
      <c r="E18" s="5">
        <v>7331.67</v>
      </c>
      <c r="F18" s="5">
        <v>7593.54</v>
      </c>
      <c r="G18" s="5">
        <v>5261.33</v>
      </c>
      <c r="H18" s="5">
        <v>4328.91</v>
      </c>
      <c r="I18" s="5">
        <v>3098.34</v>
      </c>
      <c r="J18" s="5">
        <v>3029.3</v>
      </c>
      <c r="K18" s="5">
        <v>5567.21</v>
      </c>
      <c r="L18" s="5">
        <v>5804.48</v>
      </c>
      <c r="M18" s="5">
        <v>6912.17</v>
      </c>
      <c r="N18" s="5">
        <v>8410.7999999999993</v>
      </c>
      <c r="O18" s="5">
        <f t="shared" si="1"/>
        <v>70639.490000000005</v>
      </c>
      <c r="P18" s="5">
        <f t="shared" si="0"/>
        <v>12</v>
      </c>
      <c r="Q18" s="5">
        <f t="shared" si="2"/>
        <v>5886.6241666666674</v>
      </c>
    </row>
    <row r="19" spans="1:17">
      <c r="A19" s="4">
        <v>70021</v>
      </c>
      <c r="B19" s="1" t="s">
        <v>60</v>
      </c>
      <c r="C19" s="5">
        <v>33009.599999999999</v>
      </c>
      <c r="D19" s="5">
        <v>25794</v>
      </c>
      <c r="E19" s="5">
        <v>28568</v>
      </c>
      <c r="F19" s="5">
        <v>47830.559999999998</v>
      </c>
      <c r="G19" s="5">
        <v>35256.720000000001</v>
      </c>
      <c r="H19" s="5">
        <v>20331.66</v>
      </c>
      <c r="I19" s="5">
        <v>31723.68</v>
      </c>
      <c r="J19" s="5">
        <v>25272.18</v>
      </c>
      <c r="K19" s="5">
        <v>34016.22</v>
      </c>
      <c r="L19" s="5">
        <v>37425.9</v>
      </c>
      <c r="M19" s="5">
        <v>37467.599999999999</v>
      </c>
      <c r="N19" s="5">
        <v>32211</v>
      </c>
      <c r="O19" s="5">
        <f t="shared" si="1"/>
        <v>388907.12</v>
      </c>
      <c r="P19" s="5">
        <f t="shared" si="0"/>
        <v>12</v>
      </c>
      <c r="Q19" s="5">
        <f t="shared" si="2"/>
        <v>32408.926666666666</v>
      </c>
    </row>
    <row r="20" spans="1:17">
      <c r="A20" s="4">
        <v>70022</v>
      </c>
      <c r="B20" s="1" t="s">
        <v>19</v>
      </c>
      <c r="C20" s="5">
        <v>650.98</v>
      </c>
      <c r="D20" s="5">
        <v>500.62</v>
      </c>
      <c r="E20" s="5">
        <v>707.2</v>
      </c>
      <c r="F20" s="5">
        <v>1374.49</v>
      </c>
      <c r="G20" s="5">
        <v>596.79999999999995</v>
      </c>
      <c r="H20" s="5">
        <v>226.8</v>
      </c>
      <c r="I20" s="5">
        <v>302.95</v>
      </c>
      <c r="J20" s="5">
        <v>444.48</v>
      </c>
      <c r="K20" s="5">
        <v>954.12</v>
      </c>
      <c r="L20" s="5">
        <v>1765.63</v>
      </c>
      <c r="M20" s="5">
        <v>788.82</v>
      </c>
      <c r="N20" s="5">
        <v>862.93</v>
      </c>
      <c r="O20" s="5">
        <f t="shared" si="1"/>
        <v>9175.82</v>
      </c>
      <c r="P20" s="5">
        <f t="shared" si="0"/>
        <v>12</v>
      </c>
      <c r="Q20" s="5">
        <f t="shared" si="2"/>
        <v>764.65166666666664</v>
      </c>
    </row>
    <row r="21" spans="1:17">
      <c r="A21" s="4">
        <v>70023</v>
      </c>
      <c r="B21" s="1" t="s">
        <v>20</v>
      </c>
      <c r="C21" s="5">
        <v>3884.35</v>
      </c>
      <c r="D21" s="5">
        <v>3309.25</v>
      </c>
      <c r="E21" s="5">
        <v>3204.7</v>
      </c>
      <c r="F21" s="5">
        <v>4446.78</v>
      </c>
      <c r="G21" s="5">
        <v>3052.92</v>
      </c>
      <c r="H21" s="5">
        <v>3043.26</v>
      </c>
      <c r="I21" s="5">
        <v>3065.1</v>
      </c>
      <c r="J21" s="5">
        <v>2724.72</v>
      </c>
      <c r="K21" s="5">
        <v>3134.16</v>
      </c>
      <c r="L21" s="5">
        <v>2737.74</v>
      </c>
      <c r="M21" s="5">
        <v>2920.32</v>
      </c>
      <c r="N21" s="5">
        <v>2881.5</v>
      </c>
      <c r="O21" s="5">
        <f t="shared" si="1"/>
        <v>38404.800000000003</v>
      </c>
      <c r="P21" s="5">
        <f t="shared" si="0"/>
        <v>12</v>
      </c>
      <c r="Q21" s="5">
        <f t="shared" si="2"/>
        <v>3200.4</v>
      </c>
    </row>
    <row r="22" spans="1:17">
      <c r="A22" s="4">
        <v>70024</v>
      </c>
      <c r="B22" s="1" t="s">
        <v>1</v>
      </c>
      <c r="C22" s="5"/>
      <c r="D22" s="5"/>
      <c r="E22" s="5"/>
      <c r="F22" s="5"/>
      <c r="G22" s="5"/>
      <c r="H22" s="5"/>
      <c r="O22" s="5">
        <f t="shared" si="1"/>
        <v>0</v>
      </c>
      <c r="P22" s="5">
        <f t="shared" si="0"/>
        <v>0</v>
      </c>
    </row>
    <row r="23" spans="1:17">
      <c r="A23" s="4" t="s">
        <v>66</v>
      </c>
      <c r="B23" s="1" t="s">
        <v>21</v>
      </c>
      <c r="C23" s="5">
        <v>4677.83</v>
      </c>
      <c r="D23" s="5">
        <v>5042.79</v>
      </c>
      <c r="E23" s="5">
        <v>4986.57</v>
      </c>
      <c r="F23" s="5">
        <v>6171.69</v>
      </c>
      <c r="G23" s="5">
        <v>4107.3</v>
      </c>
      <c r="H23" s="5">
        <v>3252.53</v>
      </c>
      <c r="I23" s="5">
        <v>2108.2800000000002</v>
      </c>
      <c r="O23" s="5">
        <f t="shared" si="1"/>
        <v>30346.989999999994</v>
      </c>
      <c r="P23" s="5">
        <f t="shared" si="0"/>
        <v>7</v>
      </c>
      <c r="Q23" s="5">
        <f t="shared" si="2"/>
        <v>4335.284285714285</v>
      </c>
    </row>
    <row r="24" spans="1:17">
      <c r="A24" s="4">
        <v>70026</v>
      </c>
      <c r="B24" s="1" t="s">
        <v>22</v>
      </c>
      <c r="C24" s="5">
        <v>8433.9500000000007</v>
      </c>
      <c r="D24" s="5">
        <v>7200.99</v>
      </c>
      <c r="E24" s="5">
        <v>9100.7000000000007</v>
      </c>
      <c r="F24" s="5">
        <v>9918.6299999999992</v>
      </c>
      <c r="G24" s="5">
        <v>7170.34</v>
      </c>
      <c r="H24" s="5">
        <v>2876.25</v>
      </c>
      <c r="I24" s="5">
        <v>3914.58</v>
      </c>
      <c r="J24" s="5">
        <v>3471.93</v>
      </c>
      <c r="K24" s="5">
        <v>6963.78</v>
      </c>
      <c r="L24" s="5">
        <v>9161.94</v>
      </c>
      <c r="M24" s="5">
        <v>10212.32</v>
      </c>
      <c r="N24" s="5">
        <v>11005.21</v>
      </c>
      <c r="O24" s="5">
        <f t="shared" si="1"/>
        <v>89430.62</v>
      </c>
      <c r="P24" s="5">
        <f t="shared" si="0"/>
        <v>12</v>
      </c>
      <c r="Q24" s="5">
        <f t="shared" si="2"/>
        <v>7452.5516666666663</v>
      </c>
    </row>
    <row r="25" spans="1:17">
      <c r="A25" s="4">
        <v>70027</v>
      </c>
      <c r="B25" s="1" t="s">
        <v>23</v>
      </c>
      <c r="C25" s="5">
        <v>644.73</v>
      </c>
      <c r="D25" s="5">
        <v>678.83</v>
      </c>
      <c r="E25" s="5">
        <v>746.51</v>
      </c>
      <c r="F25" s="5">
        <v>638.6</v>
      </c>
      <c r="G25" s="5">
        <v>609.94000000000005</v>
      </c>
      <c r="H25" s="5">
        <v>455.88</v>
      </c>
      <c r="I25" s="5">
        <v>688.02</v>
      </c>
      <c r="J25" s="5">
        <v>688.02</v>
      </c>
      <c r="K25" s="5">
        <v>789.66</v>
      </c>
      <c r="L25" s="5">
        <v>787.39</v>
      </c>
      <c r="M25" s="5">
        <v>765.87</v>
      </c>
      <c r="N25" s="5">
        <v>759.17</v>
      </c>
      <c r="O25" s="5">
        <f t="shared" si="1"/>
        <v>8252.6200000000008</v>
      </c>
      <c r="P25" s="5">
        <f t="shared" si="0"/>
        <v>12</v>
      </c>
      <c r="Q25" s="5">
        <f t="shared" si="2"/>
        <v>687.71833333333336</v>
      </c>
    </row>
    <row r="26" spans="1:17">
      <c r="A26" s="4" t="s">
        <v>78</v>
      </c>
      <c r="B26" s="1" t="s">
        <v>77</v>
      </c>
      <c r="C26" s="5">
        <v>2201.5100000000002</v>
      </c>
      <c r="D26" s="5">
        <v>2213.2199999999998</v>
      </c>
      <c r="E26" s="5">
        <v>2088.52</v>
      </c>
      <c r="F26" s="5">
        <v>3040.96</v>
      </c>
      <c r="G26" s="5">
        <v>1849.88</v>
      </c>
      <c r="H26" s="5">
        <v>1297.9100000000001</v>
      </c>
      <c r="I26" s="5">
        <v>918.5</v>
      </c>
      <c r="J26" s="5">
        <v>1241.3800000000001</v>
      </c>
      <c r="K26" s="5">
        <v>1451.3</v>
      </c>
      <c r="L26" s="5">
        <v>1877.51</v>
      </c>
      <c r="M26" s="5">
        <v>1775.84</v>
      </c>
      <c r="N26" s="5">
        <v>1855.42</v>
      </c>
      <c r="O26" s="5">
        <f t="shared" si="1"/>
        <v>21811.949999999997</v>
      </c>
      <c r="P26" s="5">
        <f t="shared" si="0"/>
        <v>12</v>
      </c>
      <c r="Q26" s="5">
        <f t="shared" si="2"/>
        <v>1817.6624999999997</v>
      </c>
    </row>
    <row r="27" spans="1:17">
      <c r="A27" s="4" t="s">
        <v>68</v>
      </c>
      <c r="B27" s="1" t="s">
        <v>24</v>
      </c>
      <c r="C27" s="5">
        <v>2752.58</v>
      </c>
      <c r="D27" s="5">
        <v>2461.27</v>
      </c>
      <c r="E27" s="5">
        <v>2449.0500000000002</v>
      </c>
      <c r="F27" s="5">
        <v>4020.03</v>
      </c>
      <c r="G27" s="5">
        <v>2387.7399999999998</v>
      </c>
      <c r="H27" s="5">
        <v>1804.58</v>
      </c>
      <c r="I27" s="5">
        <v>1950.36</v>
      </c>
      <c r="J27" s="5">
        <v>1814.25</v>
      </c>
      <c r="K27" s="5">
        <v>2811.18</v>
      </c>
      <c r="L27" s="5">
        <v>3009.34</v>
      </c>
      <c r="M27" s="5">
        <v>2612.09</v>
      </c>
      <c r="N27" s="5">
        <v>2686.18</v>
      </c>
      <c r="O27" s="5">
        <f t="shared" si="1"/>
        <v>30758.65</v>
      </c>
      <c r="P27" s="5">
        <f t="shared" si="0"/>
        <v>12</v>
      </c>
      <c r="Q27" s="5">
        <f t="shared" si="2"/>
        <v>2563.2208333333333</v>
      </c>
    </row>
    <row r="28" spans="1:17">
      <c r="A28" s="4">
        <v>70030</v>
      </c>
      <c r="B28" s="1" t="s">
        <v>81</v>
      </c>
      <c r="C28" s="5">
        <v>43759.05</v>
      </c>
      <c r="D28" s="5">
        <v>52727.76</v>
      </c>
      <c r="E28" s="5">
        <v>42245.94</v>
      </c>
      <c r="F28" s="5">
        <v>56942.76</v>
      </c>
      <c r="G28" s="5">
        <v>77872.490000000005</v>
      </c>
      <c r="H28" s="5">
        <v>70719.45</v>
      </c>
      <c r="I28" s="5">
        <v>29136.26</v>
      </c>
      <c r="J28" s="5">
        <v>30545.95</v>
      </c>
      <c r="K28" s="5">
        <v>33117.599999999999</v>
      </c>
      <c r="L28" s="5">
        <v>49232.58</v>
      </c>
      <c r="M28" s="5">
        <v>64966.46</v>
      </c>
      <c r="N28" s="5">
        <v>53220.47</v>
      </c>
      <c r="O28" s="5">
        <f t="shared" si="1"/>
        <v>604486.77</v>
      </c>
      <c r="P28" s="5">
        <f t="shared" si="0"/>
        <v>12</v>
      </c>
      <c r="Q28" s="5">
        <f t="shared" si="2"/>
        <v>50373.897499999999</v>
      </c>
    </row>
    <row r="29" spans="1:17">
      <c r="A29" s="4" t="s">
        <v>26</v>
      </c>
      <c r="B29" s="1" t="s">
        <v>25</v>
      </c>
      <c r="C29" s="5">
        <v>1560.1</v>
      </c>
      <c r="D29" s="5">
        <v>1815.14</v>
      </c>
      <c r="E29" s="5">
        <v>1494.35</v>
      </c>
      <c r="F29" s="5">
        <v>1490.85</v>
      </c>
      <c r="G29" s="5">
        <v>1156.94</v>
      </c>
      <c r="H29" s="5">
        <v>970.59</v>
      </c>
      <c r="I29" s="5">
        <v>974.82</v>
      </c>
      <c r="J29" s="5">
        <v>1043.47</v>
      </c>
      <c r="K29" s="5">
        <v>1750.29</v>
      </c>
      <c r="L29" s="5">
        <v>1609.13</v>
      </c>
      <c r="M29" s="5">
        <v>1763.84</v>
      </c>
      <c r="N29" s="5">
        <v>1562.64</v>
      </c>
      <c r="O29" s="5">
        <f t="shared" si="1"/>
        <v>17192.16</v>
      </c>
      <c r="P29" s="5">
        <f t="shared" si="0"/>
        <v>12</v>
      </c>
      <c r="Q29" s="5">
        <f t="shared" si="2"/>
        <v>1432.68</v>
      </c>
    </row>
    <row r="30" spans="1:17">
      <c r="A30" s="4">
        <v>70032</v>
      </c>
      <c r="B30" s="1" t="s">
        <v>11</v>
      </c>
      <c r="C30" s="5">
        <v>4130.29</v>
      </c>
      <c r="D30" s="5">
        <v>3776.85</v>
      </c>
      <c r="E30" s="5">
        <v>3719.39</v>
      </c>
      <c r="F30" s="5">
        <v>5635.56</v>
      </c>
      <c r="G30" s="5">
        <v>3779.35</v>
      </c>
      <c r="H30" s="5">
        <v>2213.66</v>
      </c>
      <c r="I30" s="5">
        <v>2445.41</v>
      </c>
      <c r="J30" s="5">
        <v>2417.3000000000002</v>
      </c>
      <c r="K30" s="5">
        <v>3629.52</v>
      </c>
      <c r="L30" s="5">
        <v>4194.33</v>
      </c>
      <c r="M30" s="5">
        <v>3426.93</v>
      </c>
      <c r="N30" s="5">
        <v>3930.9</v>
      </c>
      <c r="O30" s="5">
        <f t="shared" si="1"/>
        <v>43299.49</v>
      </c>
      <c r="P30" s="5">
        <f t="shared" si="0"/>
        <v>12</v>
      </c>
      <c r="Q30" s="5">
        <f t="shared" si="2"/>
        <v>3608.290833333333</v>
      </c>
    </row>
    <row r="31" spans="1:17">
      <c r="A31" s="4">
        <v>70034</v>
      </c>
      <c r="B31" s="1" t="s">
        <v>27</v>
      </c>
      <c r="C31" s="5">
        <v>6541.62</v>
      </c>
      <c r="D31" s="5">
        <v>6016.31</v>
      </c>
      <c r="E31" s="5">
        <v>6658.24</v>
      </c>
      <c r="F31" s="5">
        <v>7146.16</v>
      </c>
      <c r="G31" s="5">
        <v>5143.3</v>
      </c>
      <c r="H31" s="5">
        <v>2609.77</v>
      </c>
      <c r="I31" s="5">
        <v>3193.2</v>
      </c>
      <c r="J31" s="5">
        <v>2668.67</v>
      </c>
      <c r="K31" s="5">
        <v>4734.88</v>
      </c>
      <c r="L31" s="5">
        <v>6313.76</v>
      </c>
      <c r="M31" s="5">
        <v>5300.63</v>
      </c>
      <c r="N31" s="5">
        <v>5952.16</v>
      </c>
      <c r="O31" s="5">
        <f t="shared" si="1"/>
        <v>62278.699999999983</v>
      </c>
      <c r="P31" s="5">
        <f t="shared" si="0"/>
        <v>12</v>
      </c>
      <c r="Q31" s="5">
        <f t="shared" si="2"/>
        <v>5189.8916666666655</v>
      </c>
    </row>
    <row r="32" spans="1:17">
      <c r="A32" s="4">
        <v>70035</v>
      </c>
      <c r="B32" s="1" t="s">
        <v>28</v>
      </c>
      <c r="C32" s="5">
        <v>30420.799999999999</v>
      </c>
      <c r="D32" s="5">
        <v>25329.25</v>
      </c>
      <c r="E32" s="5">
        <v>31402.69</v>
      </c>
      <c r="F32" s="5">
        <v>52126.09</v>
      </c>
      <c r="G32" s="5">
        <v>30891.42</v>
      </c>
      <c r="H32" s="5">
        <v>22781.81</v>
      </c>
      <c r="I32" s="5">
        <v>24347.02</v>
      </c>
      <c r="J32" s="5">
        <v>22505</v>
      </c>
      <c r="K32" s="5">
        <v>26310.99</v>
      </c>
      <c r="L32" s="5">
        <v>38344.370000000003</v>
      </c>
      <c r="M32" s="5">
        <v>37044.58</v>
      </c>
      <c r="N32" s="5">
        <v>29361.64</v>
      </c>
      <c r="O32" s="5">
        <f t="shared" si="1"/>
        <v>370865.66000000003</v>
      </c>
      <c r="P32" s="5">
        <f t="shared" si="0"/>
        <v>12</v>
      </c>
      <c r="Q32" s="5">
        <f t="shared" si="2"/>
        <v>30905.471666666668</v>
      </c>
    </row>
    <row r="33" spans="1:17">
      <c r="A33" s="4">
        <v>70037</v>
      </c>
      <c r="B33" s="1" t="s">
        <v>29</v>
      </c>
      <c r="C33" s="5">
        <v>5167.75</v>
      </c>
      <c r="D33" s="5">
        <v>4619.43</v>
      </c>
      <c r="E33" s="5">
        <v>4620.12</v>
      </c>
      <c r="F33" s="5">
        <v>5407.44</v>
      </c>
      <c r="G33" s="5">
        <v>3888.11</v>
      </c>
      <c r="H33" s="5">
        <v>2953.08</v>
      </c>
      <c r="I33" s="5">
        <v>2869.79</v>
      </c>
      <c r="J33" s="5">
        <v>3118.11</v>
      </c>
      <c r="K33" s="5">
        <v>5156.87</v>
      </c>
      <c r="L33" s="5">
        <v>5850.1</v>
      </c>
      <c r="M33" s="5">
        <v>5281.37</v>
      </c>
      <c r="N33" s="5">
        <v>6397.76</v>
      </c>
      <c r="O33" s="5">
        <f t="shared" si="1"/>
        <v>55329.930000000008</v>
      </c>
      <c r="P33" s="5">
        <f t="shared" si="0"/>
        <v>12</v>
      </c>
      <c r="Q33" s="5">
        <f t="shared" si="2"/>
        <v>4610.8275000000003</v>
      </c>
    </row>
    <row r="34" spans="1:17">
      <c r="A34" s="4">
        <v>70038</v>
      </c>
      <c r="B34" s="1" t="s">
        <v>30</v>
      </c>
      <c r="C34" s="5">
        <v>7087.07</v>
      </c>
      <c r="D34" s="5">
        <v>7196.55</v>
      </c>
      <c r="E34" s="5">
        <v>6938.59</v>
      </c>
      <c r="F34" s="5">
        <v>8117.9</v>
      </c>
      <c r="G34" s="5">
        <v>7620.84</v>
      </c>
      <c r="H34" s="5">
        <v>4761.62</v>
      </c>
      <c r="I34" s="5">
        <v>6335.63</v>
      </c>
      <c r="J34" s="5">
        <v>6518.52</v>
      </c>
      <c r="K34" s="5">
        <v>8129.66</v>
      </c>
      <c r="L34" s="5">
        <v>9138.15</v>
      </c>
      <c r="M34" s="5">
        <v>8704.6299999999992</v>
      </c>
      <c r="N34" s="5">
        <v>8516.36</v>
      </c>
      <c r="O34" s="5">
        <f t="shared" si="1"/>
        <v>89065.52</v>
      </c>
      <c r="P34" s="5">
        <f t="shared" si="0"/>
        <v>12</v>
      </c>
      <c r="Q34" s="5">
        <f t="shared" si="2"/>
        <v>7422.126666666667</v>
      </c>
    </row>
    <row r="35" spans="1:17">
      <c r="A35" s="4" t="s">
        <v>71</v>
      </c>
      <c r="B35" s="1" t="s">
        <v>31</v>
      </c>
      <c r="C35" s="5">
        <v>6778</v>
      </c>
      <c r="D35" s="5">
        <v>5574</v>
      </c>
      <c r="E35" s="5">
        <v>5020</v>
      </c>
      <c r="F35" s="5">
        <v>8723</v>
      </c>
      <c r="G35" s="5">
        <v>4732</v>
      </c>
      <c r="H35" s="5">
        <v>3415</v>
      </c>
      <c r="I35" s="5">
        <v>3140</v>
      </c>
      <c r="J35" s="5">
        <v>3286</v>
      </c>
      <c r="K35" s="5">
        <v>6308</v>
      </c>
      <c r="L35" s="5">
        <v>7974</v>
      </c>
      <c r="M35" s="5">
        <v>6618</v>
      </c>
      <c r="N35" s="5">
        <v>7179</v>
      </c>
      <c r="O35" s="5">
        <f t="shared" si="1"/>
        <v>68747</v>
      </c>
      <c r="P35" s="5">
        <f t="shared" si="0"/>
        <v>12</v>
      </c>
      <c r="Q35" s="5">
        <f t="shared" si="2"/>
        <v>5728.916666666667</v>
      </c>
    </row>
    <row r="36" spans="1:17">
      <c r="A36" s="4">
        <v>70040</v>
      </c>
      <c r="B36" s="1" t="s">
        <v>32</v>
      </c>
      <c r="C36" s="5">
        <v>8437</v>
      </c>
      <c r="D36" s="5">
        <v>8921.5499999999993</v>
      </c>
      <c r="E36" s="5">
        <v>8843.41</v>
      </c>
      <c r="F36" s="5">
        <v>11488.76</v>
      </c>
      <c r="G36" s="5">
        <v>9806.77</v>
      </c>
      <c r="H36" s="5">
        <v>8198.1</v>
      </c>
      <c r="I36" s="5">
        <v>7954.13</v>
      </c>
      <c r="J36" s="5">
        <v>9070.0499999999993</v>
      </c>
      <c r="K36" s="5">
        <v>10924.74</v>
      </c>
      <c r="L36" s="5">
        <v>11453.94</v>
      </c>
      <c r="M36" s="5">
        <v>12482.59</v>
      </c>
      <c r="N36" s="5">
        <v>11085.35</v>
      </c>
      <c r="O36" s="5">
        <f t="shared" si="1"/>
        <v>118666.39000000001</v>
      </c>
      <c r="P36" s="5">
        <f t="shared" si="0"/>
        <v>12</v>
      </c>
      <c r="Q36" s="5">
        <f t="shared" si="2"/>
        <v>9888.8658333333351</v>
      </c>
    </row>
    <row r="37" spans="1:17">
      <c r="A37" s="4">
        <v>70043</v>
      </c>
      <c r="B37" s="1" t="s">
        <v>33</v>
      </c>
      <c r="C37" s="5">
        <v>3316.51</v>
      </c>
      <c r="D37" s="5">
        <v>3212.67</v>
      </c>
      <c r="E37" s="5">
        <v>2770.32</v>
      </c>
      <c r="F37" s="5">
        <v>4084.99</v>
      </c>
      <c r="G37" s="5">
        <v>2314.63</v>
      </c>
      <c r="H37" s="5">
        <v>2111.7399999999998</v>
      </c>
      <c r="I37" s="5">
        <v>1890.41</v>
      </c>
      <c r="J37" s="5">
        <v>1813.49</v>
      </c>
      <c r="K37" s="5">
        <v>3988.21</v>
      </c>
      <c r="L37" s="5">
        <v>2750.47</v>
      </c>
      <c r="M37" s="5">
        <v>2346.9</v>
      </c>
      <c r="N37" s="5">
        <v>2338.79</v>
      </c>
      <c r="O37" s="5">
        <f t="shared" si="1"/>
        <v>32939.130000000005</v>
      </c>
      <c r="P37" s="5">
        <f t="shared" si="0"/>
        <v>12</v>
      </c>
      <c r="Q37" s="5">
        <f t="shared" si="2"/>
        <v>2744.9275000000002</v>
      </c>
    </row>
    <row r="38" spans="1:17">
      <c r="A38" s="4">
        <v>70044</v>
      </c>
      <c r="B38" s="1" t="s">
        <v>34</v>
      </c>
      <c r="C38" s="5">
        <v>7299.55</v>
      </c>
      <c r="D38" s="5">
        <v>6339.23</v>
      </c>
      <c r="E38" s="5">
        <v>5716.77</v>
      </c>
      <c r="F38" s="5">
        <v>9828.6200000000008</v>
      </c>
      <c r="G38" s="5">
        <v>5699.81</v>
      </c>
      <c r="H38" s="5">
        <v>4140.1899999999996</v>
      </c>
      <c r="I38" s="5">
        <v>4202.7</v>
      </c>
      <c r="J38" s="5">
        <v>4979.0200000000004</v>
      </c>
      <c r="K38" s="5">
        <v>8367.14</v>
      </c>
      <c r="L38" s="5">
        <v>9282.33</v>
      </c>
      <c r="M38" s="5">
        <v>7586.06</v>
      </c>
      <c r="N38" s="5">
        <v>8163.39</v>
      </c>
      <c r="O38" s="5">
        <f t="shared" si="1"/>
        <v>81604.81</v>
      </c>
      <c r="P38" s="5">
        <f t="shared" si="0"/>
        <v>12</v>
      </c>
      <c r="Q38" s="5">
        <f t="shared" si="2"/>
        <v>6800.4008333333331</v>
      </c>
    </row>
    <row r="39" spans="1:17">
      <c r="A39" s="4">
        <v>70046</v>
      </c>
      <c r="B39" s="1" t="s">
        <v>35</v>
      </c>
      <c r="C39" s="5">
        <v>1074.8</v>
      </c>
      <c r="D39" s="5">
        <v>1172.6500000000001</v>
      </c>
      <c r="E39" s="5">
        <v>1157</v>
      </c>
      <c r="F39" s="5">
        <v>1303.56</v>
      </c>
      <c r="G39" s="5">
        <v>1215.06</v>
      </c>
      <c r="H39" s="5">
        <v>1161.5999999999999</v>
      </c>
      <c r="I39" s="5">
        <v>1067.2</v>
      </c>
      <c r="J39" s="5">
        <v>1065.96</v>
      </c>
      <c r="K39" s="5">
        <v>1339.56</v>
      </c>
      <c r="L39" s="5">
        <v>1289.76</v>
      </c>
      <c r="M39" s="5">
        <v>1252.56</v>
      </c>
      <c r="N39" s="5">
        <v>1287.5999999999999</v>
      </c>
      <c r="O39" s="5">
        <f t="shared" si="1"/>
        <v>14387.31</v>
      </c>
      <c r="P39" s="5">
        <f t="shared" si="0"/>
        <v>12</v>
      </c>
      <c r="Q39" s="5">
        <f t="shared" si="2"/>
        <v>1198.9424999999999</v>
      </c>
    </row>
    <row r="40" spans="1:17">
      <c r="A40" s="4">
        <v>70048</v>
      </c>
      <c r="B40" s="1" t="s">
        <v>83</v>
      </c>
      <c r="C40" s="5">
        <v>3731.49</v>
      </c>
      <c r="D40" s="5">
        <v>3314.87</v>
      </c>
      <c r="E40" s="5">
        <v>3383.03</v>
      </c>
      <c r="F40" s="5">
        <v>3614.78</v>
      </c>
      <c r="G40" s="5">
        <v>2810.8</v>
      </c>
      <c r="H40" s="5">
        <v>1664.75</v>
      </c>
      <c r="I40" s="5">
        <v>1879.71</v>
      </c>
      <c r="J40" s="5">
        <v>2156.2600000000002</v>
      </c>
      <c r="K40" s="5">
        <v>2746.24</v>
      </c>
      <c r="L40" s="5">
        <v>2340.84</v>
      </c>
      <c r="M40" s="5">
        <v>2433.73</v>
      </c>
      <c r="N40" s="5">
        <v>2702.51</v>
      </c>
      <c r="O40" s="5">
        <f t="shared" si="1"/>
        <v>32779.01</v>
      </c>
      <c r="P40" s="5">
        <f t="shared" si="0"/>
        <v>12</v>
      </c>
      <c r="Q40" s="5">
        <f t="shared" si="2"/>
        <v>2731.584166666667</v>
      </c>
    </row>
    <row r="41" spans="1:17">
      <c r="A41" s="4">
        <v>70049</v>
      </c>
      <c r="B41" s="1" t="s">
        <v>37</v>
      </c>
      <c r="C41" s="5">
        <v>309.8</v>
      </c>
      <c r="D41" s="5">
        <v>204.32</v>
      </c>
      <c r="E41" s="5">
        <v>187.84</v>
      </c>
      <c r="F41" s="5">
        <v>270.3</v>
      </c>
      <c r="G41" s="5">
        <v>185.12</v>
      </c>
      <c r="H41" s="5">
        <v>146.25</v>
      </c>
      <c r="I41" s="5">
        <v>161.27000000000001</v>
      </c>
      <c r="J41" s="5">
        <v>119.25</v>
      </c>
      <c r="K41" s="5">
        <v>151.25</v>
      </c>
      <c r="L41" s="5">
        <v>264.05</v>
      </c>
      <c r="M41" s="5">
        <v>240.2</v>
      </c>
      <c r="N41" s="5">
        <v>249.86</v>
      </c>
      <c r="O41" s="5">
        <f t="shared" si="1"/>
        <v>2489.5100000000002</v>
      </c>
      <c r="P41" s="5">
        <f t="shared" si="0"/>
        <v>12</v>
      </c>
      <c r="Q41" s="5">
        <f t="shared" si="2"/>
        <v>207.45916666666668</v>
      </c>
    </row>
    <row r="42" spans="1:17">
      <c r="A42" s="4" t="s">
        <v>79</v>
      </c>
      <c r="B42" s="1" t="s">
        <v>80</v>
      </c>
      <c r="C42" s="5"/>
      <c r="D42" s="5"/>
      <c r="E42" s="5"/>
      <c r="F42" s="5"/>
      <c r="G42" s="5"/>
      <c r="H42" s="5"/>
      <c r="K42" s="5">
        <v>638</v>
      </c>
      <c r="L42" s="5">
        <v>2243</v>
      </c>
      <c r="M42" s="5">
        <v>2057</v>
      </c>
      <c r="N42" s="5">
        <v>2041</v>
      </c>
      <c r="O42" s="5">
        <f t="shared" si="1"/>
        <v>6979</v>
      </c>
      <c r="P42" s="5">
        <f t="shared" si="0"/>
        <v>4</v>
      </c>
      <c r="Q42" s="5">
        <f t="shared" si="2"/>
        <v>1744.75</v>
      </c>
    </row>
    <row r="43" spans="1:17">
      <c r="A43" s="4" t="s">
        <v>2</v>
      </c>
      <c r="B43" s="1" t="s">
        <v>70</v>
      </c>
      <c r="C43" s="5">
        <v>4407.45</v>
      </c>
      <c r="D43" s="5">
        <v>4676.96</v>
      </c>
      <c r="E43" s="5">
        <v>4432.07</v>
      </c>
      <c r="F43" s="5">
        <v>5497.87</v>
      </c>
      <c r="G43" s="5">
        <v>3870.78</v>
      </c>
      <c r="H43" s="5">
        <v>3172.31</v>
      </c>
      <c r="I43" s="5">
        <v>2849.41</v>
      </c>
      <c r="J43" s="5">
        <v>3233.62</v>
      </c>
      <c r="K43" s="5">
        <v>4486.93</v>
      </c>
      <c r="L43" s="5">
        <v>4543.46</v>
      </c>
      <c r="M43" s="5">
        <v>4310.08</v>
      </c>
      <c r="N43" s="5">
        <v>4277.3100000000004</v>
      </c>
      <c r="O43" s="5">
        <f t="shared" si="1"/>
        <v>49758.249999999993</v>
      </c>
      <c r="P43" s="5">
        <f t="shared" si="0"/>
        <v>12</v>
      </c>
      <c r="Q43" s="5">
        <f t="shared" si="2"/>
        <v>4146.520833333333</v>
      </c>
    </row>
    <row r="44" spans="1:17">
      <c r="A44" s="4">
        <v>70052</v>
      </c>
      <c r="B44" s="1" t="s">
        <v>84</v>
      </c>
      <c r="C44" s="5">
        <v>4574.6499999999996</v>
      </c>
      <c r="D44" s="5">
        <v>4494.0200000000004</v>
      </c>
      <c r="E44" s="5">
        <v>4458.9399999999996</v>
      </c>
      <c r="F44" s="5">
        <v>4923.29</v>
      </c>
      <c r="G44" s="5">
        <v>4233.04</v>
      </c>
      <c r="H44" s="5">
        <v>3341.63</v>
      </c>
      <c r="I44" s="5">
        <v>3323.69</v>
      </c>
      <c r="J44" s="5">
        <v>2032.71</v>
      </c>
      <c r="K44" s="5">
        <v>3787.19</v>
      </c>
      <c r="L44" s="5">
        <v>3582.67</v>
      </c>
      <c r="M44" s="5">
        <v>3499.6</v>
      </c>
      <c r="N44" s="5">
        <v>3667.38</v>
      </c>
      <c r="O44" s="5">
        <f t="shared" si="1"/>
        <v>45918.81</v>
      </c>
      <c r="P44" s="5">
        <f t="shared" si="0"/>
        <v>12</v>
      </c>
      <c r="Q44" s="5">
        <f t="shared" si="2"/>
        <v>3826.5674999999997</v>
      </c>
    </row>
    <row r="45" spans="1:17">
      <c r="A45" s="4">
        <v>70053</v>
      </c>
      <c r="B45" s="1" t="s">
        <v>39</v>
      </c>
      <c r="C45" s="5">
        <v>11476.19</v>
      </c>
      <c r="D45" s="5">
        <v>13633.31</v>
      </c>
      <c r="E45" s="5">
        <v>14322.79</v>
      </c>
      <c r="F45" s="5">
        <v>19235.71</v>
      </c>
      <c r="G45" s="5">
        <v>14541.37</v>
      </c>
      <c r="H45" s="5">
        <v>8479.5499999999993</v>
      </c>
      <c r="I45" s="5">
        <v>8652.7099999999991</v>
      </c>
      <c r="J45" s="5">
        <v>11158.67</v>
      </c>
      <c r="K45" s="5">
        <v>13332.16</v>
      </c>
      <c r="L45" s="5">
        <v>14640.6</v>
      </c>
      <c r="M45" s="5">
        <v>18030.59</v>
      </c>
      <c r="N45" s="5">
        <v>15226.87</v>
      </c>
      <c r="O45" s="5">
        <f t="shared" si="1"/>
        <v>162730.52000000002</v>
      </c>
      <c r="P45" s="5">
        <f t="shared" si="0"/>
        <v>12</v>
      </c>
      <c r="Q45" s="5">
        <f t="shared" si="2"/>
        <v>13560.876666666669</v>
      </c>
    </row>
    <row r="46" spans="1:17">
      <c r="A46" s="4">
        <v>70054</v>
      </c>
      <c r="B46" s="1" t="s">
        <v>40</v>
      </c>
      <c r="C46" s="5">
        <v>9179.57</v>
      </c>
      <c r="D46" s="5">
        <v>5600.61</v>
      </c>
      <c r="E46" s="5">
        <v>9196.7900000000009</v>
      </c>
      <c r="F46" s="5">
        <v>13547.53</v>
      </c>
      <c r="G46" s="5">
        <v>8253.89</v>
      </c>
      <c r="H46" s="5">
        <v>4397.01</v>
      </c>
      <c r="I46" s="5">
        <v>3919.56</v>
      </c>
      <c r="J46" s="5">
        <v>3954.17</v>
      </c>
      <c r="K46" s="5">
        <v>6758.87</v>
      </c>
      <c r="L46" s="5">
        <v>10548.5</v>
      </c>
      <c r="M46" s="5">
        <v>7880.86</v>
      </c>
      <c r="N46" s="5">
        <v>8954.17</v>
      </c>
      <c r="O46" s="5">
        <f t="shared" si="1"/>
        <v>92191.53</v>
      </c>
      <c r="P46" s="5">
        <f t="shared" si="0"/>
        <v>12</v>
      </c>
      <c r="Q46" s="5">
        <f t="shared" si="2"/>
        <v>7682.6274999999996</v>
      </c>
    </row>
    <row r="47" spans="1:17">
      <c r="A47" s="4">
        <v>70055</v>
      </c>
      <c r="B47" s="1" t="s">
        <v>41</v>
      </c>
      <c r="C47" s="5">
        <v>5529.51</v>
      </c>
      <c r="D47" s="5">
        <v>5216.21</v>
      </c>
      <c r="E47" s="5">
        <v>4526.1099999999997</v>
      </c>
      <c r="F47" s="5">
        <v>5954.56</v>
      </c>
      <c r="G47" s="5">
        <v>5006.8999999999996</v>
      </c>
      <c r="H47" s="5">
        <v>4469.76</v>
      </c>
      <c r="I47" s="5">
        <v>4617.6099999999997</v>
      </c>
      <c r="J47" s="5">
        <v>4283.3999999999996</v>
      </c>
      <c r="K47" s="5">
        <v>5491.46</v>
      </c>
      <c r="L47" s="5">
        <v>6025.49</v>
      </c>
      <c r="M47" s="5">
        <v>6543.84</v>
      </c>
      <c r="N47" s="5">
        <v>6666.57</v>
      </c>
      <c r="O47" s="5">
        <f t="shared" si="1"/>
        <v>64331.420000000006</v>
      </c>
      <c r="P47" s="5">
        <f t="shared" si="0"/>
        <v>12</v>
      </c>
      <c r="Q47" s="5">
        <f t="shared" si="2"/>
        <v>5360.9516666666668</v>
      </c>
    </row>
    <row r="48" spans="1:17">
      <c r="A48" s="4" t="s">
        <v>62</v>
      </c>
      <c r="B48" s="1" t="s">
        <v>63</v>
      </c>
      <c r="C48" s="5">
        <v>1430.4</v>
      </c>
      <c r="D48" s="5">
        <v>1350.62</v>
      </c>
      <c r="E48" s="5">
        <v>1115.9100000000001</v>
      </c>
      <c r="F48" s="5">
        <v>1467.29</v>
      </c>
      <c r="G48" s="5">
        <v>1113.76</v>
      </c>
      <c r="H48" s="5">
        <v>858.97</v>
      </c>
      <c r="K48" s="5">
        <v>1097.8699999999999</v>
      </c>
      <c r="L48" s="5">
        <v>1138.3</v>
      </c>
      <c r="M48" s="5">
        <v>1775.84</v>
      </c>
      <c r="O48" s="5">
        <f t="shared" si="1"/>
        <v>11348.96</v>
      </c>
      <c r="P48" s="5">
        <f t="shared" si="0"/>
        <v>9</v>
      </c>
      <c r="Q48" s="5">
        <f t="shared" si="2"/>
        <v>1260.9955555555555</v>
      </c>
    </row>
    <row r="49" spans="1:17">
      <c r="A49" s="4">
        <v>70062</v>
      </c>
      <c r="B49" s="1" t="s">
        <v>42</v>
      </c>
      <c r="C49" s="5">
        <v>5937.15</v>
      </c>
      <c r="D49" s="5">
        <v>5968.42</v>
      </c>
      <c r="E49" s="5">
        <v>5537.37</v>
      </c>
      <c r="F49" s="5">
        <v>9478.91</v>
      </c>
      <c r="G49" s="5">
        <v>4669.59</v>
      </c>
      <c r="H49" s="5">
        <v>4969.67</v>
      </c>
      <c r="I49" s="5">
        <v>4990.38</v>
      </c>
      <c r="J49" s="5">
        <v>5643.41</v>
      </c>
      <c r="K49" s="5">
        <v>6594.77</v>
      </c>
      <c r="L49" s="5">
        <v>7489.76</v>
      </c>
      <c r="M49" s="5">
        <v>7707.03</v>
      </c>
      <c r="N49" s="5">
        <v>7110.27</v>
      </c>
      <c r="O49" s="5">
        <f t="shared" si="1"/>
        <v>76096.73000000001</v>
      </c>
      <c r="P49" s="5">
        <f t="shared" si="0"/>
        <v>12</v>
      </c>
      <c r="Q49" s="5">
        <f t="shared" si="2"/>
        <v>6341.3941666666678</v>
      </c>
    </row>
    <row r="50" spans="1:17">
      <c r="A50" s="4">
        <v>70063</v>
      </c>
      <c r="B50" s="1" t="s">
        <v>43</v>
      </c>
      <c r="C50" s="5">
        <v>6290.63</v>
      </c>
      <c r="D50" s="5">
        <v>6875.26</v>
      </c>
      <c r="E50" s="5">
        <v>6504.32</v>
      </c>
      <c r="F50" s="5">
        <v>9229.85</v>
      </c>
      <c r="G50" s="5">
        <v>7536.31</v>
      </c>
      <c r="H50" s="5">
        <v>5616.84</v>
      </c>
      <c r="I50" s="5">
        <v>6272.82</v>
      </c>
      <c r="J50" s="5">
        <v>6746.76</v>
      </c>
      <c r="K50" s="5">
        <v>7769.11</v>
      </c>
      <c r="L50" s="5">
        <v>8552.5499999999993</v>
      </c>
      <c r="M50" s="5">
        <v>8930.06</v>
      </c>
      <c r="N50" s="5">
        <v>7762.07</v>
      </c>
      <c r="O50" s="5">
        <f t="shared" si="1"/>
        <v>88086.579999999987</v>
      </c>
      <c r="P50" s="5">
        <f t="shared" si="0"/>
        <v>12</v>
      </c>
      <c r="Q50" s="5">
        <f t="shared" si="2"/>
        <v>7340.5483333333323</v>
      </c>
    </row>
    <row r="51" spans="1:17">
      <c r="A51" s="4">
        <v>70065</v>
      </c>
      <c r="B51" s="1" t="s">
        <v>44</v>
      </c>
      <c r="C51" s="5">
        <v>230.5</v>
      </c>
      <c r="D51" s="5">
        <v>144.44999999999999</v>
      </c>
      <c r="E51" s="5">
        <v>124.5</v>
      </c>
      <c r="F51" s="5">
        <v>450.87</v>
      </c>
      <c r="G51" s="5">
        <v>69.599999999999994</v>
      </c>
      <c r="H51" s="5">
        <v>55.74</v>
      </c>
      <c r="I51" s="5">
        <v>0</v>
      </c>
      <c r="J51" s="5">
        <v>114.3</v>
      </c>
      <c r="K51" s="5">
        <v>95.4</v>
      </c>
      <c r="L51" s="5">
        <v>452.04</v>
      </c>
      <c r="M51" s="5">
        <v>255.72</v>
      </c>
      <c r="N51" s="5">
        <v>198.42</v>
      </c>
      <c r="O51" s="5">
        <f t="shared" si="1"/>
        <v>2191.54</v>
      </c>
      <c r="P51" s="5">
        <f t="shared" si="0"/>
        <v>12</v>
      </c>
      <c r="Q51" s="5">
        <f t="shared" si="2"/>
        <v>182.62833333333333</v>
      </c>
    </row>
    <row r="52" spans="1:17">
      <c r="A52" s="4">
        <v>70066</v>
      </c>
      <c r="B52" s="1" t="s">
        <v>45</v>
      </c>
      <c r="C52" s="5">
        <v>520.72</v>
      </c>
      <c r="D52" s="5">
        <v>363.1</v>
      </c>
      <c r="E52" s="5">
        <v>472.74</v>
      </c>
      <c r="F52" s="5">
        <v>802.42</v>
      </c>
      <c r="G52" s="5">
        <v>561.16</v>
      </c>
      <c r="H52" s="5">
        <v>293.77</v>
      </c>
      <c r="I52" s="5">
        <v>248.58</v>
      </c>
      <c r="J52" s="5">
        <v>316.61</v>
      </c>
      <c r="K52" s="5">
        <v>363.04</v>
      </c>
      <c r="L52" s="5">
        <v>746.21</v>
      </c>
      <c r="M52" s="5">
        <v>314.98</v>
      </c>
      <c r="N52" s="5">
        <v>483.95</v>
      </c>
      <c r="O52" s="5">
        <f t="shared" si="1"/>
        <v>5487.28</v>
      </c>
      <c r="P52" s="5">
        <f t="shared" si="0"/>
        <v>12</v>
      </c>
      <c r="Q52" s="5">
        <f t="shared" si="2"/>
        <v>457.27333333333331</v>
      </c>
    </row>
    <row r="53" spans="1:17">
      <c r="A53" s="4">
        <v>70067</v>
      </c>
      <c r="B53" s="1" t="s">
        <v>46</v>
      </c>
      <c r="C53" s="5">
        <v>2412.38</v>
      </c>
      <c r="D53" s="5">
        <v>2449.09</v>
      </c>
      <c r="E53" s="5">
        <v>2182</v>
      </c>
      <c r="F53" s="5">
        <v>4076.13</v>
      </c>
      <c r="G53" s="5">
        <v>2015.95</v>
      </c>
      <c r="H53" s="5">
        <v>1075.0999999999999</v>
      </c>
      <c r="I53" s="5">
        <v>1952.32</v>
      </c>
      <c r="J53" s="5">
        <v>1636.39</v>
      </c>
      <c r="K53" s="5">
        <v>2932.26</v>
      </c>
      <c r="L53" s="5">
        <v>3454.83</v>
      </c>
      <c r="M53" s="5">
        <v>2841.25</v>
      </c>
      <c r="N53" s="5">
        <v>2800.99</v>
      </c>
      <c r="O53" s="5">
        <f t="shared" si="1"/>
        <v>29828.690000000002</v>
      </c>
      <c r="P53" s="5">
        <f t="shared" si="0"/>
        <v>12</v>
      </c>
      <c r="Q53" s="5">
        <f t="shared" si="2"/>
        <v>2485.7241666666669</v>
      </c>
    </row>
    <row r="54" spans="1:17">
      <c r="A54" s="4">
        <v>70068</v>
      </c>
      <c r="B54" s="1" t="s">
        <v>47</v>
      </c>
      <c r="C54" s="5">
        <v>425.04</v>
      </c>
      <c r="D54" s="5">
        <v>242.22</v>
      </c>
      <c r="E54" s="5">
        <v>149.26</v>
      </c>
      <c r="F54" s="5">
        <v>336.66</v>
      </c>
      <c r="G54" s="5">
        <v>62.58</v>
      </c>
      <c r="H54" s="5">
        <v>61.26</v>
      </c>
      <c r="I54" s="5">
        <v>78.34</v>
      </c>
      <c r="J54" s="5">
        <v>159.06</v>
      </c>
      <c r="K54" s="5">
        <v>84.27</v>
      </c>
      <c r="L54" s="5">
        <v>457.52</v>
      </c>
      <c r="M54" s="5">
        <v>355.62</v>
      </c>
      <c r="N54" s="5">
        <v>587.12</v>
      </c>
      <c r="O54" s="5">
        <f t="shared" si="1"/>
        <v>2998.95</v>
      </c>
      <c r="P54" s="5">
        <f t="shared" si="0"/>
        <v>12</v>
      </c>
      <c r="Q54" s="5">
        <f t="shared" si="2"/>
        <v>249.91249999999999</v>
      </c>
    </row>
    <row r="55" spans="1:17">
      <c r="A55" s="4" t="s">
        <v>72</v>
      </c>
      <c r="B55" s="1" t="s">
        <v>48</v>
      </c>
      <c r="C55" s="5">
        <v>4909</v>
      </c>
      <c r="D55" s="5">
        <v>4558</v>
      </c>
      <c r="E55" s="5">
        <v>5269</v>
      </c>
      <c r="F55" s="5">
        <v>4924</v>
      </c>
      <c r="G55" s="5">
        <v>4660</v>
      </c>
      <c r="H55" s="5">
        <v>2775</v>
      </c>
      <c r="I55" s="5">
        <v>3570</v>
      </c>
      <c r="J55" s="5">
        <v>4201</v>
      </c>
      <c r="K55" s="5">
        <v>5154</v>
      </c>
      <c r="L55" s="5">
        <v>6306</v>
      </c>
      <c r="M55" s="5">
        <v>6310</v>
      </c>
      <c r="N55" s="5">
        <v>6291</v>
      </c>
      <c r="O55" s="5">
        <f t="shared" si="1"/>
        <v>58927</v>
      </c>
      <c r="P55" s="5">
        <f t="shared" si="0"/>
        <v>12</v>
      </c>
      <c r="Q55" s="5">
        <f t="shared" si="2"/>
        <v>4910.583333333333</v>
      </c>
    </row>
    <row r="56" spans="1:17">
      <c r="A56" s="4" t="s">
        <v>65</v>
      </c>
      <c r="B56" s="1" t="s">
        <v>67</v>
      </c>
      <c r="C56" s="5">
        <v>13346.55</v>
      </c>
      <c r="D56" s="5">
        <v>14116.25</v>
      </c>
      <c r="E56" s="5">
        <v>14928.7</v>
      </c>
      <c r="F56" s="5">
        <v>21312.42</v>
      </c>
      <c r="G56" s="5">
        <v>15865.62</v>
      </c>
      <c r="H56" s="5">
        <v>12994.02</v>
      </c>
      <c r="I56" s="5">
        <v>11282.94</v>
      </c>
      <c r="J56" s="5">
        <v>14705.88</v>
      </c>
      <c r="K56" s="5">
        <v>16861.38</v>
      </c>
      <c r="L56" s="5">
        <v>18077.82</v>
      </c>
      <c r="M56" s="5">
        <v>17471.939999999999</v>
      </c>
      <c r="N56" s="5">
        <v>16304.76</v>
      </c>
      <c r="O56" s="5">
        <f t="shared" si="1"/>
        <v>187268.28000000003</v>
      </c>
      <c r="P56" s="5">
        <f t="shared" si="0"/>
        <v>12</v>
      </c>
      <c r="Q56" s="5">
        <f t="shared" si="2"/>
        <v>15605.690000000002</v>
      </c>
    </row>
    <row r="57" spans="1:17">
      <c r="A57" s="4">
        <v>70071</v>
      </c>
      <c r="B57" s="1" t="s">
        <v>49</v>
      </c>
      <c r="C57" s="5">
        <v>209</v>
      </c>
      <c r="D57" s="5">
        <v>157.5</v>
      </c>
      <c r="E57" s="5">
        <v>235.25</v>
      </c>
      <c r="F57" s="5">
        <v>609.9</v>
      </c>
      <c r="G57" s="5">
        <v>197.4</v>
      </c>
      <c r="H57" s="5">
        <v>28.8</v>
      </c>
      <c r="I57" s="5">
        <v>47.4</v>
      </c>
      <c r="J57" s="5">
        <v>75.900000000000006</v>
      </c>
      <c r="K57" s="5">
        <v>131.34</v>
      </c>
      <c r="L57" s="5">
        <v>694.05</v>
      </c>
      <c r="M57" s="5">
        <v>280.2</v>
      </c>
      <c r="N57" s="5">
        <v>379.8</v>
      </c>
      <c r="O57" s="5">
        <f t="shared" si="1"/>
        <v>3046.54</v>
      </c>
      <c r="P57" s="5">
        <f t="shared" si="0"/>
        <v>12</v>
      </c>
      <c r="Q57" s="5">
        <f t="shared" si="2"/>
        <v>253.87833333333333</v>
      </c>
    </row>
    <row r="58" spans="1:17">
      <c r="A58" s="4">
        <v>70072</v>
      </c>
      <c r="B58" s="1" t="s">
        <v>50</v>
      </c>
      <c r="C58" s="5">
        <v>7698.85</v>
      </c>
      <c r="D58" s="5">
        <v>7807.77</v>
      </c>
      <c r="E58" s="5">
        <v>7510.75</v>
      </c>
      <c r="F58" s="5">
        <v>7785.8</v>
      </c>
      <c r="G58" s="5">
        <v>6699.45</v>
      </c>
      <c r="H58" s="5">
        <v>5090.75</v>
      </c>
      <c r="I58" s="5">
        <v>3996.17</v>
      </c>
      <c r="J58" s="5">
        <v>5411.85</v>
      </c>
      <c r="K58" s="5">
        <v>7120.43</v>
      </c>
      <c r="L58" s="5">
        <v>7497.23</v>
      </c>
      <c r="M58" s="5">
        <v>6009.74</v>
      </c>
      <c r="N58" s="5">
        <v>5599.05</v>
      </c>
      <c r="O58" s="5">
        <f t="shared" si="1"/>
        <v>78227.840000000011</v>
      </c>
      <c r="P58" s="5">
        <f t="shared" si="0"/>
        <v>12</v>
      </c>
      <c r="Q58" s="5">
        <f t="shared" si="2"/>
        <v>6518.9866666666676</v>
      </c>
    </row>
    <row r="59" spans="1:17">
      <c r="A59" s="4">
        <v>70073</v>
      </c>
      <c r="B59" s="1" t="s">
        <v>51</v>
      </c>
      <c r="C59" s="5"/>
      <c r="D59" s="5"/>
      <c r="E59" s="5"/>
      <c r="F59" s="5"/>
      <c r="G59" s="5"/>
      <c r="H59" s="5"/>
      <c r="P59" s="5">
        <f t="shared" si="0"/>
        <v>0</v>
      </c>
    </row>
    <row r="60" spans="1:17">
      <c r="A60" s="4">
        <v>70074</v>
      </c>
      <c r="B60" s="1" t="s">
        <v>52</v>
      </c>
      <c r="C60" s="5">
        <v>683.15</v>
      </c>
      <c r="D60" s="5">
        <v>267.64999999999998</v>
      </c>
      <c r="E60" s="5">
        <v>643.4</v>
      </c>
      <c r="F60" s="5">
        <v>514.98</v>
      </c>
      <c r="G60" s="5">
        <v>627.41999999999996</v>
      </c>
      <c r="H60" s="5">
        <v>453.66</v>
      </c>
      <c r="I60" s="5">
        <v>145.74</v>
      </c>
      <c r="J60" s="5">
        <v>153.72</v>
      </c>
      <c r="K60" s="5">
        <v>301.74</v>
      </c>
      <c r="L60" s="5">
        <v>686.52</v>
      </c>
      <c r="M60" s="5">
        <v>751.68</v>
      </c>
      <c r="N60" s="5">
        <v>279.39</v>
      </c>
      <c r="O60" s="5">
        <f t="shared" si="1"/>
        <v>5509.05</v>
      </c>
      <c r="P60" s="5">
        <f t="shared" si="0"/>
        <v>12</v>
      </c>
      <c r="Q60" s="5">
        <f t="shared" si="2"/>
        <v>459.08750000000003</v>
      </c>
    </row>
    <row r="61" spans="1:17">
      <c r="A61" s="4">
        <v>70075</v>
      </c>
      <c r="B61" s="1" t="s">
        <v>53</v>
      </c>
      <c r="C61" s="5">
        <v>4681.68</v>
      </c>
      <c r="D61" s="5">
        <v>4261.59</v>
      </c>
      <c r="E61" s="5">
        <v>3852.01</v>
      </c>
      <c r="F61" s="5">
        <v>5691.23</v>
      </c>
      <c r="G61" s="5">
        <v>4132.95</v>
      </c>
      <c r="H61" s="5">
        <v>3086.28</v>
      </c>
      <c r="I61" s="5">
        <v>3879.19</v>
      </c>
      <c r="J61" s="5">
        <v>3945.48</v>
      </c>
      <c r="K61" s="5">
        <v>5348.58</v>
      </c>
      <c r="L61" s="5">
        <v>56445.82</v>
      </c>
      <c r="M61" s="5">
        <v>5073.4399999999996</v>
      </c>
      <c r="N61" s="5">
        <v>5392.97</v>
      </c>
      <c r="O61" s="5">
        <f t="shared" si="1"/>
        <v>105791.22</v>
      </c>
      <c r="P61" s="5">
        <f t="shared" si="0"/>
        <v>12</v>
      </c>
      <c r="Q61" s="5">
        <f t="shared" si="2"/>
        <v>8815.9349999999995</v>
      </c>
    </row>
    <row r="62" spans="1:17">
      <c r="A62" s="4">
        <v>70076</v>
      </c>
      <c r="B62" s="1" t="s">
        <v>54</v>
      </c>
      <c r="C62" s="5">
        <v>6365.14</v>
      </c>
      <c r="D62" s="5">
        <v>6435.07</v>
      </c>
      <c r="E62" s="5">
        <v>6699.41</v>
      </c>
      <c r="F62" s="5">
        <v>9478.91</v>
      </c>
      <c r="G62" s="5">
        <v>7314.69</v>
      </c>
      <c r="H62" s="5">
        <v>5639.96</v>
      </c>
      <c r="I62" s="5">
        <v>4996.4399999999996</v>
      </c>
      <c r="J62" s="5">
        <v>4882.91</v>
      </c>
      <c r="K62" s="5">
        <v>7249.61</v>
      </c>
      <c r="L62" s="5">
        <v>8510.85</v>
      </c>
      <c r="M62" s="5">
        <v>8090.71</v>
      </c>
      <c r="N62" s="5">
        <v>7403.77</v>
      </c>
      <c r="O62" s="5">
        <f t="shared" si="1"/>
        <v>83067.470000000016</v>
      </c>
      <c r="P62" s="5">
        <f t="shared" si="0"/>
        <v>12</v>
      </c>
      <c r="Q62" s="5">
        <f t="shared" si="2"/>
        <v>6922.2891666666683</v>
      </c>
    </row>
    <row r="63" spans="1:17">
      <c r="A63" s="4">
        <v>70077</v>
      </c>
      <c r="B63" s="1" t="s">
        <v>3</v>
      </c>
      <c r="C63" s="5">
        <v>1906.96</v>
      </c>
      <c r="D63" s="5">
        <v>1851.32</v>
      </c>
      <c r="E63" s="5">
        <v>2075.0100000000002</v>
      </c>
      <c r="F63" s="5">
        <v>2545.09</v>
      </c>
      <c r="G63" s="5">
        <v>2587.7800000000002</v>
      </c>
      <c r="H63" s="5">
        <v>1778.1</v>
      </c>
      <c r="I63" s="5">
        <v>2587.7800000000002</v>
      </c>
      <c r="J63" s="5">
        <v>1959.83</v>
      </c>
      <c r="K63" s="5">
        <v>1775.22</v>
      </c>
      <c r="L63" s="5">
        <v>2253.15</v>
      </c>
      <c r="M63" s="5">
        <v>622.22</v>
      </c>
      <c r="N63" s="5">
        <v>2410.39</v>
      </c>
      <c r="O63" s="5">
        <f t="shared" si="1"/>
        <v>24352.850000000006</v>
      </c>
      <c r="P63" s="5">
        <f t="shared" si="0"/>
        <v>12</v>
      </c>
      <c r="Q63" s="5">
        <f t="shared" si="2"/>
        <v>2029.4041666666672</v>
      </c>
    </row>
    <row r="64" spans="1:17">
      <c r="A64" s="4">
        <v>70078</v>
      </c>
      <c r="B64" s="1" t="s">
        <v>55</v>
      </c>
      <c r="C64" s="5">
        <v>6936.3</v>
      </c>
      <c r="D64" s="5">
        <v>7522.08</v>
      </c>
      <c r="E64" s="5">
        <v>8926.23</v>
      </c>
      <c r="F64" s="5">
        <v>11127.05</v>
      </c>
      <c r="G64" s="5">
        <v>8031.35</v>
      </c>
      <c r="H64" s="5">
        <v>7739.78</v>
      </c>
      <c r="I64" s="5">
        <v>6621.58</v>
      </c>
      <c r="J64" s="5">
        <v>7895.36</v>
      </c>
      <c r="K64" s="5">
        <v>11641.15</v>
      </c>
      <c r="L64" s="5">
        <v>11039.11</v>
      </c>
      <c r="M64" s="5">
        <v>9544.26</v>
      </c>
      <c r="N64" s="5">
        <v>11333.13</v>
      </c>
      <c r="O64" s="5">
        <f t="shared" si="1"/>
        <v>108357.38</v>
      </c>
      <c r="P64" s="5">
        <f t="shared" si="0"/>
        <v>12</v>
      </c>
      <c r="Q64" s="5">
        <f t="shared" si="2"/>
        <v>9029.7816666666677</v>
      </c>
    </row>
    <row r="65" spans="1:17">
      <c r="A65" s="4">
        <v>70079</v>
      </c>
      <c r="B65" s="1" t="s">
        <v>56</v>
      </c>
      <c r="C65" s="5">
        <v>7422.72</v>
      </c>
      <c r="D65" s="5">
        <v>7310.09</v>
      </c>
      <c r="E65" s="5">
        <v>6875.42</v>
      </c>
      <c r="F65" s="5">
        <v>12363.42</v>
      </c>
      <c r="G65" s="5">
        <v>8605.91</v>
      </c>
      <c r="H65" s="5"/>
      <c r="I65" s="5">
        <v>6552.8</v>
      </c>
      <c r="J65" s="5">
        <v>6797.98</v>
      </c>
      <c r="K65" s="5">
        <v>9379.66</v>
      </c>
      <c r="L65" s="5">
        <v>10861.63</v>
      </c>
      <c r="M65" s="5">
        <v>9533.41</v>
      </c>
      <c r="N65" s="5">
        <v>8536.0400000000009</v>
      </c>
      <c r="O65" s="5">
        <f t="shared" si="1"/>
        <v>94239.080000000016</v>
      </c>
      <c r="P65" s="5">
        <f t="shared" si="0"/>
        <v>11</v>
      </c>
      <c r="Q65" s="5">
        <f t="shared" si="2"/>
        <v>8567.1890909090926</v>
      </c>
    </row>
    <row r="66" spans="1:17">
      <c r="A66" s="4">
        <v>70080</v>
      </c>
      <c r="B66" s="1" t="s">
        <v>57</v>
      </c>
      <c r="C66" s="5">
        <v>6263.03</v>
      </c>
      <c r="D66" s="5">
        <v>6016.03</v>
      </c>
      <c r="E66" s="5">
        <v>6168.04</v>
      </c>
      <c r="F66" s="5">
        <v>9043.2900000000009</v>
      </c>
      <c r="G66" s="5">
        <v>5952.48</v>
      </c>
      <c r="H66" s="5">
        <v>4849.8999999999996</v>
      </c>
      <c r="I66" s="5">
        <v>4561.8599999999997</v>
      </c>
      <c r="J66" s="5">
        <v>4218.1400000000003</v>
      </c>
      <c r="K66" s="5">
        <v>7237.7</v>
      </c>
      <c r="L66" s="5">
        <v>7626.99</v>
      </c>
      <c r="M66" s="5">
        <v>7115.22</v>
      </c>
      <c r="N66" s="5">
        <v>8067.15</v>
      </c>
      <c r="O66" s="5">
        <f t="shared" si="1"/>
        <v>77119.829999999987</v>
      </c>
      <c r="P66" s="5">
        <f>+COUNT(C66:N66)</f>
        <v>12</v>
      </c>
      <c r="Q66" s="5">
        <f t="shared" si="2"/>
        <v>6426.6524999999992</v>
      </c>
    </row>
    <row r="67" spans="1:17">
      <c r="A67" s="4">
        <v>70081</v>
      </c>
      <c r="B67" s="1" t="s">
        <v>58</v>
      </c>
      <c r="C67" s="5">
        <v>26304.959999999999</v>
      </c>
      <c r="D67" s="5">
        <v>28187.79</v>
      </c>
      <c r="E67" s="5">
        <v>34686.47</v>
      </c>
      <c r="F67" s="5">
        <v>43923.27</v>
      </c>
      <c r="G67" s="5">
        <v>29606.400000000001</v>
      </c>
      <c r="H67" s="5">
        <v>19433.669999999998</v>
      </c>
      <c r="I67" s="5">
        <v>18106.37</v>
      </c>
      <c r="J67" s="5">
        <v>18493.46</v>
      </c>
      <c r="K67" s="5">
        <v>33938</v>
      </c>
      <c r="L67" s="5">
        <v>36430.81</v>
      </c>
      <c r="M67" s="5">
        <v>37506.57</v>
      </c>
      <c r="N67" s="5">
        <v>42709.93</v>
      </c>
      <c r="O67" s="5">
        <f>SUM(C67:N67)</f>
        <v>369327.69999999995</v>
      </c>
      <c r="P67" s="5">
        <f>+COUNT(C67:N67)</f>
        <v>12</v>
      </c>
      <c r="Q67" s="5">
        <f>+O67/P67</f>
        <v>30777.308333333331</v>
      </c>
    </row>
    <row r="68" spans="1:17">
      <c r="A68" s="4">
        <v>70082</v>
      </c>
      <c r="B68" s="1" t="s">
        <v>59</v>
      </c>
      <c r="C68" s="5">
        <v>2822.03</v>
      </c>
      <c r="D68" s="5">
        <v>2669.15</v>
      </c>
      <c r="E68" s="5">
        <v>1889.22</v>
      </c>
      <c r="F68" s="5">
        <v>3869.85</v>
      </c>
      <c r="G68" s="5">
        <v>2167.23</v>
      </c>
      <c r="H68" s="5">
        <v>1710.9</v>
      </c>
      <c r="I68" s="5">
        <v>1546.58</v>
      </c>
      <c r="J68" s="5">
        <v>2198.1999999999998</v>
      </c>
      <c r="K68" s="5">
        <v>3126.47</v>
      </c>
      <c r="L68" s="5">
        <v>3023.57</v>
      </c>
      <c r="M68" s="5">
        <v>2514.4299999999998</v>
      </c>
      <c r="N68" s="5">
        <v>2428.31</v>
      </c>
      <c r="O68" s="5">
        <f>SUM(C68:N68)</f>
        <v>29965.940000000002</v>
      </c>
      <c r="P68" s="5">
        <f>+COUNT(C68:N68)</f>
        <v>12</v>
      </c>
      <c r="Q68" s="5">
        <f>+O68/P68</f>
        <v>2497.1616666666669</v>
      </c>
    </row>
    <row r="69" spans="1:17">
      <c r="A69" s="4">
        <v>70084</v>
      </c>
      <c r="B69" s="1" t="s">
        <v>64</v>
      </c>
      <c r="C69" s="5">
        <v>3448.28</v>
      </c>
      <c r="D69" s="5">
        <v>3241.58</v>
      </c>
      <c r="E69" s="5">
        <v>3239.6</v>
      </c>
      <c r="F69" s="5">
        <v>3575.34</v>
      </c>
      <c r="G69" s="5">
        <v>2544.0100000000002</v>
      </c>
      <c r="H69" s="5">
        <v>2421.94</v>
      </c>
      <c r="I69" s="5">
        <v>2458.31</v>
      </c>
      <c r="J69" s="5">
        <v>2969.51</v>
      </c>
      <c r="K69" s="5">
        <v>4279.6000000000004</v>
      </c>
      <c r="L69" s="5">
        <v>4066.05</v>
      </c>
      <c r="M69" s="5">
        <v>4246.67</v>
      </c>
      <c r="N69" s="5">
        <v>3687.36</v>
      </c>
      <c r="O69" s="5">
        <f>SUM(C69:N69)</f>
        <v>40178.25</v>
      </c>
      <c r="P69" s="5">
        <f>+COUNT(C69:N69)</f>
        <v>12</v>
      </c>
      <c r="Q69" s="5">
        <f>+O69/P69</f>
        <v>3348.1875</v>
      </c>
    </row>
    <row r="70" spans="1:17">
      <c r="A70" s="21">
        <v>70085</v>
      </c>
      <c r="B70" s="22" t="s">
        <v>74</v>
      </c>
      <c r="C70" s="25"/>
      <c r="D70" s="25">
        <v>323.91000000000003</v>
      </c>
      <c r="E70" s="25">
        <v>50.49</v>
      </c>
      <c r="F70" s="25">
        <v>158.94</v>
      </c>
      <c r="G70" s="25"/>
      <c r="H70" s="25">
        <v>402.44</v>
      </c>
      <c r="I70" s="25">
        <v>253.75</v>
      </c>
      <c r="J70" s="25">
        <v>316.67</v>
      </c>
      <c r="K70" s="25">
        <v>451.23</v>
      </c>
      <c r="L70" s="25">
        <v>363.08</v>
      </c>
      <c r="M70" s="25">
        <v>626.80999999999995</v>
      </c>
      <c r="N70" s="25">
        <v>429.48</v>
      </c>
      <c r="O70" s="25">
        <f>SUM(C70:N70)</f>
        <v>3376.8</v>
      </c>
      <c r="P70" s="5">
        <f>+COUNT(C70:N70)</f>
        <v>10</v>
      </c>
      <c r="Q70" s="25">
        <f>+O70/P70</f>
        <v>337.68</v>
      </c>
    </row>
    <row r="72" spans="1:17">
      <c r="B72" s="1" t="s">
        <v>140</v>
      </c>
      <c r="C72" s="5">
        <f>SUM(C2:C70)</f>
        <v>459201.78000000014</v>
      </c>
      <c r="D72" s="5">
        <f>SUM(D2:D69)</f>
        <v>435899.17000000016</v>
      </c>
      <c r="E72" s="5">
        <f>SUM(E2:E69)</f>
        <v>452536.53999999992</v>
      </c>
      <c r="F72" s="5">
        <f t="shared" ref="F72:L72" si="3">SUM(F2:F70)</f>
        <v>634593.45999999985</v>
      </c>
      <c r="G72" s="5">
        <f t="shared" si="3"/>
        <v>478528.20000000007</v>
      </c>
      <c r="H72" s="5">
        <f t="shared" si="3"/>
        <v>347412.32</v>
      </c>
      <c r="I72" s="5">
        <f t="shared" si="3"/>
        <v>324745.67000000004</v>
      </c>
      <c r="J72" s="5">
        <f t="shared" si="3"/>
        <v>337788.47999999992</v>
      </c>
      <c r="K72" s="5">
        <f t="shared" si="3"/>
        <v>465735.6399999999</v>
      </c>
      <c r="L72" s="5">
        <f t="shared" si="3"/>
        <v>595189.03</v>
      </c>
      <c r="M72" s="5">
        <f>SUM(M2:M71)</f>
        <v>543665.7100000002</v>
      </c>
      <c r="N72" s="5">
        <f>SUM(N2:N70)</f>
        <v>508863.2699999999</v>
      </c>
      <c r="O72" s="5">
        <f>SUM(C72:N72)</f>
        <v>5584159.2699999996</v>
      </c>
      <c r="Q72" s="5">
        <f>+O72/12</f>
        <v>465346.60583333328</v>
      </c>
    </row>
    <row r="73" spans="1:17">
      <c r="C73" s="5"/>
      <c r="E73" s="5"/>
      <c r="F73" s="5"/>
      <c r="G73" s="5"/>
      <c r="H73" s="5"/>
    </row>
    <row r="74" spans="1:17">
      <c r="C74" s="5"/>
      <c r="E74" s="5"/>
      <c r="F74" s="5"/>
      <c r="G74" s="5"/>
      <c r="H74" s="5"/>
    </row>
  </sheetData>
  <phoneticPr fontId="0" type="noConversion"/>
  <printOptions horizontalCentered="1"/>
  <pageMargins left="0.25" right="0.25" top="1" bottom="0.75" header="0.5" footer="0.5"/>
  <pageSetup scale="74" fitToHeight="2" orientation="landscape" r:id="rId1"/>
  <headerFooter alignWithMargins="0">
    <oddHeader>&amp;C&amp;"Arial,Bold"&amp;22Occupancy Tax Receipts 
Fiscal Year 2001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R148"/>
  <sheetViews>
    <sheetView topLeftCell="O97" zoomScale="130" zoomScaleNormal="130" workbookViewId="0">
      <selection activeCell="U119" sqref="U119:Z119"/>
    </sheetView>
  </sheetViews>
  <sheetFormatPr defaultColWidth="9.08984375" defaultRowHeight="10"/>
  <cols>
    <col min="1" max="1" width="10.54296875" style="1" customWidth="1"/>
    <col min="2" max="2" width="9.36328125" style="1" customWidth="1"/>
    <col min="3" max="3" width="27.36328125" style="1" hidden="1" customWidth="1"/>
    <col min="4" max="4" width="32.08984375" style="1" customWidth="1"/>
    <col min="5" max="5" width="8.453125" style="1" hidden="1" customWidth="1"/>
    <col min="6" max="6" width="6.453125" style="7" hidden="1" customWidth="1"/>
    <col min="7" max="7" width="20.54296875" style="1" hidden="1" customWidth="1"/>
    <col min="8" max="8" width="5.6328125" style="1" hidden="1" customWidth="1"/>
    <col min="9" max="9" width="6.36328125" style="1" hidden="1" customWidth="1"/>
    <col min="10" max="10" width="10.6328125" style="1" hidden="1" customWidth="1"/>
    <col min="11" max="11" width="21.08984375" style="1" hidden="1" customWidth="1"/>
    <col min="12" max="12" width="7.6328125" style="1" hidden="1" customWidth="1"/>
    <col min="13" max="13" width="6.453125" style="1" hidden="1" customWidth="1"/>
    <col min="14" max="14" width="7.36328125" style="1" hidden="1" customWidth="1"/>
    <col min="15" max="19" width="12" style="1" customWidth="1"/>
    <col min="20" max="21" width="10.6328125" style="1" customWidth="1"/>
    <col min="22" max="22" width="11.08984375" style="1" bestFit="1" customWidth="1"/>
    <col min="23" max="23" width="11.54296875" style="1" customWidth="1"/>
    <col min="24" max="24" width="11.36328125" style="1" customWidth="1"/>
    <col min="25" max="25" width="12" style="1" customWidth="1"/>
    <col min="26" max="26" width="11.90625" style="1" customWidth="1"/>
    <col min="27" max="27" width="13.6328125" style="1" customWidth="1"/>
    <col min="28" max="28" width="9.08984375" style="1" hidden="1" customWidth="1"/>
    <col min="29" max="29" width="11.90625" style="1" customWidth="1"/>
    <col min="30" max="30" width="9.08984375" style="1"/>
    <col min="31" max="31" width="8.6328125" style="1" bestFit="1" customWidth="1"/>
    <col min="32" max="32" width="10.6328125" style="1" bestFit="1" customWidth="1"/>
    <col min="33" max="33" width="9.54296875" style="1" bestFit="1" customWidth="1"/>
    <col min="34" max="37" width="10.6328125" style="1" bestFit="1" customWidth="1"/>
    <col min="38" max="38" width="12" style="1" bestFit="1" customWidth="1"/>
    <col min="39" max="40" width="10.6328125" style="1" bestFit="1" customWidth="1"/>
    <col min="41" max="43" width="9.54296875" style="1" bestFit="1" customWidth="1"/>
    <col min="44" max="44" width="11.54296875" style="1" bestFit="1" customWidth="1"/>
    <col min="45" max="16384" width="9.08984375" style="1"/>
  </cols>
  <sheetData>
    <row r="1" spans="1:44">
      <c r="O1" s="8">
        <f t="shared" ref="O1:Z1" si="0">+SUM(O3:O127)</f>
        <v>1544381.8199999998</v>
      </c>
      <c r="P1" s="8">
        <f t="shared" si="0"/>
        <v>1390882.5</v>
      </c>
      <c r="Q1" s="8">
        <f t="shared" si="0"/>
        <v>1510379.8499999994</v>
      </c>
      <c r="R1" s="8">
        <f t="shared" si="0"/>
        <v>1874445.82</v>
      </c>
      <c r="S1" s="8">
        <f t="shared" si="0"/>
        <v>1245027.3900000001</v>
      </c>
      <c r="T1" s="8">
        <f t="shared" si="0"/>
        <v>798572.30999999994</v>
      </c>
      <c r="U1" s="8">
        <f t="shared" si="0"/>
        <v>855713.68999999983</v>
      </c>
      <c r="V1" s="8">
        <f t="shared" si="0"/>
        <v>1014706.23</v>
      </c>
      <c r="W1" s="8">
        <f t="shared" si="0"/>
        <v>1385666.3449999997</v>
      </c>
      <c r="X1" s="8">
        <f t="shared" si="0"/>
        <v>1732179.0500000003</v>
      </c>
      <c r="Y1" s="8">
        <f t="shared" si="0"/>
        <v>1682642.6600000008</v>
      </c>
      <c r="Z1" s="8">
        <f t="shared" si="0"/>
        <v>1494216.42</v>
      </c>
      <c r="AA1" s="8">
        <f>+SUM(AA3:AA127)</f>
        <v>16528814.085000006</v>
      </c>
      <c r="AE1" s="8">
        <f t="shared" ref="AE1:AR1" si="1">+SUM(AE3:AE127)</f>
        <v>0</v>
      </c>
      <c r="AF1" s="8">
        <f t="shared" si="1"/>
        <v>110146.64</v>
      </c>
      <c r="AG1" s="8">
        <f>+SUM(AG3:AG127)</f>
        <v>27730.479999999996</v>
      </c>
      <c r="AH1" s="8">
        <f t="shared" si="1"/>
        <v>239837.63</v>
      </c>
      <c r="AI1" s="8">
        <f t="shared" si="1"/>
        <v>198739.33000000002</v>
      </c>
      <c r="AJ1" s="8">
        <f t="shared" si="1"/>
        <v>293574.62000000005</v>
      </c>
      <c r="AK1" s="8">
        <f>+SUM(AK3:AK127)</f>
        <v>129900.77000000002</v>
      </c>
      <c r="AL1" s="8">
        <f t="shared" si="1"/>
        <v>73674.16</v>
      </c>
      <c r="AM1" s="8">
        <f t="shared" si="1"/>
        <v>103882.465</v>
      </c>
      <c r="AN1" s="8">
        <f t="shared" si="1"/>
        <v>104104.63999999998</v>
      </c>
      <c r="AO1" s="8">
        <f>+SUM(AO3:AO127)</f>
        <v>47208.29</v>
      </c>
      <c r="AP1" s="8">
        <f>+SUM(AP3:AP127)</f>
        <v>53705.89</v>
      </c>
      <c r="AQ1" s="8">
        <f t="shared" si="1"/>
        <v>3161.4300000000003</v>
      </c>
      <c r="AR1" s="8">
        <f t="shared" si="1"/>
        <v>1385666.3449999997</v>
      </c>
    </row>
    <row r="2" spans="1:44" s="17" customFormat="1" ht="21">
      <c r="A2" s="17" t="s">
        <v>523</v>
      </c>
      <c r="B2" s="14" t="s">
        <v>82</v>
      </c>
      <c r="C2" s="15" t="s">
        <v>524</v>
      </c>
      <c r="D2" s="15" t="s">
        <v>0</v>
      </c>
      <c r="E2" s="334" t="s">
        <v>736</v>
      </c>
      <c r="F2" s="339" t="s">
        <v>370</v>
      </c>
      <c r="G2" s="22" t="s">
        <v>829</v>
      </c>
      <c r="H2" s="334" t="s">
        <v>737</v>
      </c>
      <c r="I2" s="334" t="s">
        <v>738</v>
      </c>
      <c r="J2" s="22" t="s">
        <v>739</v>
      </c>
      <c r="K2" s="22" t="s">
        <v>740</v>
      </c>
      <c r="L2" s="335" t="s">
        <v>741</v>
      </c>
      <c r="M2" s="335" t="s">
        <v>742</v>
      </c>
      <c r="N2" s="334" t="s">
        <v>743</v>
      </c>
      <c r="O2" s="284" t="s">
        <v>858</v>
      </c>
      <c r="P2" s="366" t="s">
        <v>859</v>
      </c>
      <c r="Q2" s="262" t="s">
        <v>860</v>
      </c>
      <c r="R2" s="263" t="s">
        <v>861</v>
      </c>
      <c r="S2" s="264" t="s">
        <v>862</v>
      </c>
      <c r="T2" s="265" t="s">
        <v>863</v>
      </c>
      <c r="U2" s="266" t="s">
        <v>864</v>
      </c>
      <c r="V2" s="267" t="s">
        <v>865</v>
      </c>
      <c r="W2" s="268" t="s">
        <v>866</v>
      </c>
      <c r="X2" s="269" t="s">
        <v>867</v>
      </c>
      <c r="Y2" s="270" t="s">
        <v>868</v>
      </c>
      <c r="Z2" s="363" t="s">
        <v>869</v>
      </c>
      <c r="AA2" s="64" t="s">
        <v>143</v>
      </c>
      <c r="AB2" s="64"/>
      <c r="AC2" s="64" t="s">
        <v>142</v>
      </c>
      <c r="AE2" s="17" t="s">
        <v>539</v>
      </c>
      <c r="AF2" s="17" t="s">
        <v>537</v>
      </c>
      <c r="AG2" s="17" t="s">
        <v>662</v>
      </c>
      <c r="AH2" s="17" t="s">
        <v>531</v>
      </c>
      <c r="AI2" s="17" t="s">
        <v>530</v>
      </c>
      <c r="AJ2" s="17" t="s">
        <v>535</v>
      </c>
      <c r="AK2" s="17" t="s">
        <v>658</v>
      </c>
      <c r="AL2" s="17" t="s">
        <v>533</v>
      </c>
      <c r="AM2" s="17" t="s">
        <v>659</v>
      </c>
      <c r="AN2" s="17" t="s">
        <v>660</v>
      </c>
      <c r="AO2" s="17" t="s">
        <v>705</v>
      </c>
      <c r="AP2" s="17" t="s">
        <v>951</v>
      </c>
      <c r="AQ2" s="17" t="s">
        <v>970</v>
      </c>
      <c r="AR2" s="17" t="s">
        <v>965</v>
      </c>
    </row>
    <row r="3" spans="1:44" s="17" customFormat="1" ht="10.5">
      <c r="A3" s="1" t="s">
        <v>531</v>
      </c>
      <c r="B3" s="4">
        <v>15037984</v>
      </c>
      <c r="C3" s="1" t="s">
        <v>652</v>
      </c>
      <c r="D3" s="1" t="s">
        <v>653</v>
      </c>
      <c r="E3" s="336">
        <v>42429</v>
      </c>
      <c r="F3" s="7">
        <v>4549</v>
      </c>
      <c r="G3" s="1" t="s">
        <v>747</v>
      </c>
      <c r="H3" s="7">
        <v>88</v>
      </c>
      <c r="I3" s="7">
        <v>6</v>
      </c>
      <c r="J3" s="1"/>
      <c r="K3" s="1" t="s">
        <v>746</v>
      </c>
      <c r="L3" s="1" t="s">
        <v>745</v>
      </c>
      <c r="M3" s="333" t="s">
        <v>744</v>
      </c>
      <c r="N3" s="332">
        <v>40507</v>
      </c>
      <c r="O3" s="181">
        <v>30880.33</v>
      </c>
      <c r="P3" s="184">
        <v>32065.66</v>
      </c>
      <c r="Q3" s="229">
        <v>39696.959999999999</v>
      </c>
      <c r="R3" s="192">
        <v>52906.3</v>
      </c>
      <c r="S3" s="195">
        <v>32748.21</v>
      </c>
      <c r="T3" s="238">
        <v>21468.880000000001</v>
      </c>
      <c r="U3" s="347">
        <v>22352.62</v>
      </c>
      <c r="V3" s="212">
        <v>27210.2</v>
      </c>
      <c r="W3" s="217">
        <v>32620.68</v>
      </c>
      <c r="X3" s="220">
        <v>46046.37</v>
      </c>
      <c r="Y3" s="304">
        <v>44976.67</v>
      </c>
      <c r="Z3" s="172">
        <v>34505.919999999998</v>
      </c>
      <c r="AA3" s="8">
        <f>+SUM(O3:Z3)</f>
        <v>417478.8</v>
      </c>
      <c r="AB3" s="1"/>
      <c r="AC3" s="31"/>
      <c r="AE3" s="321">
        <f>+IF($A3=AE$2,$W3,0)</f>
        <v>0</v>
      </c>
      <c r="AF3" s="321">
        <f t="shared" ref="AF3:AQ18" si="2">+IF($A3=AF$2,$W3,0)</f>
        <v>0</v>
      </c>
      <c r="AG3" s="321">
        <f t="shared" si="2"/>
        <v>0</v>
      </c>
      <c r="AH3" s="321">
        <f t="shared" si="2"/>
        <v>32620.68</v>
      </c>
      <c r="AI3" s="321">
        <f t="shared" si="2"/>
        <v>0</v>
      </c>
      <c r="AJ3" s="321">
        <f t="shared" si="2"/>
        <v>0</v>
      </c>
      <c r="AK3" s="321">
        <f t="shared" si="2"/>
        <v>0</v>
      </c>
      <c r="AL3" s="321">
        <f t="shared" si="2"/>
        <v>0</v>
      </c>
      <c r="AM3" s="321">
        <f t="shared" si="2"/>
        <v>0</v>
      </c>
      <c r="AN3" s="321">
        <f t="shared" si="2"/>
        <v>0</v>
      </c>
      <c r="AO3" s="321">
        <f t="shared" si="2"/>
        <v>0</v>
      </c>
      <c r="AP3" s="321">
        <f t="shared" si="2"/>
        <v>0</v>
      </c>
      <c r="AQ3" s="321">
        <f t="shared" si="2"/>
        <v>0</v>
      </c>
      <c r="AR3" s="70">
        <f t="shared" ref="AR3:AR16" si="3">+SUM(AE3:AQ3)</f>
        <v>32620.68</v>
      </c>
    </row>
    <row r="4" spans="1:44" s="17" customFormat="1" ht="10.5">
      <c r="A4" s="1" t="s">
        <v>970</v>
      </c>
      <c r="B4" s="4">
        <v>15063097</v>
      </c>
      <c r="C4" s="1"/>
      <c r="D4" s="1" t="s">
        <v>883</v>
      </c>
      <c r="E4" s="1"/>
      <c r="F4" s="7"/>
      <c r="G4" s="1"/>
      <c r="H4" s="1"/>
      <c r="I4" s="1"/>
      <c r="J4" s="1"/>
      <c r="K4" s="1"/>
      <c r="L4" s="1"/>
      <c r="M4" s="1"/>
      <c r="N4" s="1"/>
      <c r="O4" s="238">
        <v>576.64</v>
      </c>
      <c r="P4" s="238">
        <v>338.47</v>
      </c>
      <c r="Q4" s="238">
        <v>704.44</v>
      </c>
      <c r="R4" s="347">
        <v>583.1</v>
      </c>
      <c r="S4" s="347">
        <v>850</v>
      </c>
      <c r="T4" s="347">
        <v>527.54999999999995</v>
      </c>
      <c r="U4" s="220">
        <v>294.52999999999997</v>
      </c>
      <c r="V4" s="220">
        <v>277.7</v>
      </c>
      <c r="W4" s="220">
        <v>546.98</v>
      </c>
      <c r="X4" s="32"/>
      <c r="Y4" s="32"/>
      <c r="Z4" s="32"/>
      <c r="AA4" s="8">
        <f t="shared" ref="AA4:AA67" si="4">+SUM(O4:Z4)</f>
        <v>4699.41</v>
      </c>
      <c r="AB4" s="1"/>
      <c r="AC4" s="31"/>
      <c r="AE4" s="321">
        <f t="shared" ref="AE4:AQ35" si="5">+IF($A4=AE$2,$W4,0)</f>
        <v>0</v>
      </c>
      <c r="AF4" s="321">
        <f t="shared" si="2"/>
        <v>0</v>
      </c>
      <c r="AG4" s="321">
        <f t="shared" si="2"/>
        <v>0</v>
      </c>
      <c r="AH4" s="321">
        <f t="shared" si="2"/>
        <v>0</v>
      </c>
      <c r="AI4" s="321">
        <f t="shared" si="2"/>
        <v>0</v>
      </c>
      <c r="AJ4" s="321">
        <f t="shared" si="2"/>
        <v>0</v>
      </c>
      <c r="AK4" s="321">
        <f t="shared" si="2"/>
        <v>0</v>
      </c>
      <c r="AL4" s="321">
        <f t="shared" si="2"/>
        <v>0</v>
      </c>
      <c r="AM4" s="321">
        <f t="shared" si="2"/>
        <v>0</v>
      </c>
      <c r="AN4" s="321">
        <f t="shared" si="2"/>
        <v>0</v>
      </c>
      <c r="AO4" s="321">
        <f t="shared" si="2"/>
        <v>0</v>
      </c>
      <c r="AP4" s="321">
        <f t="shared" si="2"/>
        <v>0</v>
      </c>
      <c r="AQ4" s="321">
        <f t="shared" si="2"/>
        <v>546.98</v>
      </c>
      <c r="AR4" s="70">
        <f t="shared" si="3"/>
        <v>546.98</v>
      </c>
    </row>
    <row r="5" spans="1:44" s="17" customFormat="1" ht="10.5">
      <c r="A5" s="1" t="s">
        <v>704</v>
      </c>
      <c r="B5" s="4">
        <v>15002216</v>
      </c>
      <c r="C5" s="1" t="s">
        <v>329</v>
      </c>
      <c r="D5" s="1" t="s">
        <v>838</v>
      </c>
      <c r="E5" s="1"/>
      <c r="F5" s="32"/>
      <c r="G5" s="32"/>
      <c r="H5" s="32"/>
      <c r="I5" s="32"/>
      <c r="J5" s="32"/>
      <c r="K5" s="32" t="s">
        <v>837</v>
      </c>
      <c r="L5" s="1" t="s">
        <v>745</v>
      </c>
      <c r="M5" s="333" t="s">
        <v>744</v>
      </c>
      <c r="N5" s="349">
        <v>40507</v>
      </c>
      <c r="O5" s="32"/>
      <c r="P5" s="32"/>
      <c r="Q5" s="32"/>
      <c r="R5" s="346">
        <v>28.73</v>
      </c>
      <c r="S5" s="1"/>
      <c r="T5" s="32"/>
      <c r="U5" s="365"/>
      <c r="V5" s="32"/>
      <c r="W5" s="365"/>
      <c r="X5" s="365"/>
      <c r="Y5" s="49"/>
      <c r="Z5" s="321"/>
      <c r="AA5" s="8">
        <f t="shared" si="4"/>
        <v>28.73</v>
      </c>
      <c r="AB5" s="1"/>
      <c r="AC5" s="31"/>
      <c r="AE5" s="321">
        <f t="shared" si="5"/>
        <v>0</v>
      </c>
      <c r="AF5" s="321">
        <f t="shared" si="2"/>
        <v>0</v>
      </c>
      <c r="AG5" s="321">
        <f t="shared" si="2"/>
        <v>0</v>
      </c>
      <c r="AH5" s="321">
        <f t="shared" si="2"/>
        <v>0</v>
      </c>
      <c r="AI5" s="321">
        <f t="shared" si="2"/>
        <v>0</v>
      </c>
      <c r="AJ5" s="321">
        <f t="shared" si="2"/>
        <v>0</v>
      </c>
      <c r="AK5" s="321">
        <f t="shared" si="2"/>
        <v>0</v>
      </c>
      <c r="AL5" s="321">
        <f t="shared" si="2"/>
        <v>0</v>
      </c>
      <c r="AM5" s="321">
        <f t="shared" si="2"/>
        <v>0</v>
      </c>
      <c r="AN5" s="321">
        <f t="shared" si="2"/>
        <v>0</v>
      </c>
      <c r="AO5" s="321">
        <f t="shared" si="2"/>
        <v>0</v>
      </c>
      <c r="AP5" s="321">
        <f t="shared" si="2"/>
        <v>0</v>
      </c>
      <c r="AQ5" s="321">
        <f t="shared" si="2"/>
        <v>0</v>
      </c>
      <c r="AR5" s="70">
        <f t="shared" si="3"/>
        <v>0</v>
      </c>
    </row>
    <row r="6" spans="1:44" ht="10.5">
      <c r="A6" s="1" t="s">
        <v>951</v>
      </c>
      <c r="B6" s="42">
        <v>15036764</v>
      </c>
      <c r="C6" s="11" t="s">
        <v>844</v>
      </c>
      <c r="D6" s="11" t="s">
        <v>844</v>
      </c>
      <c r="E6" s="7"/>
      <c r="F6" s="340"/>
      <c r="H6" s="7"/>
      <c r="I6" s="7"/>
      <c r="M6" s="333"/>
      <c r="N6" s="332"/>
      <c r="O6" s="181">
        <v>37512.68</v>
      </c>
      <c r="P6" s="184">
        <v>37851.78</v>
      </c>
      <c r="Q6" s="229">
        <v>34845.47</v>
      </c>
      <c r="R6" s="192">
        <v>29344.44</v>
      </c>
      <c r="S6" s="195">
        <v>26649.14</v>
      </c>
      <c r="T6" s="238">
        <v>23585.25</v>
      </c>
      <c r="U6" s="347">
        <v>46942.32</v>
      </c>
      <c r="V6" s="212">
        <v>46074.01</v>
      </c>
      <c r="W6" s="217">
        <v>53705.89</v>
      </c>
      <c r="X6" s="220">
        <v>47866.49</v>
      </c>
      <c r="Y6" s="304">
        <v>47435.43</v>
      </c>
      <c r="Z6" s="172">
        <v>46724.07</v>
      </c>
      <c r="AA6" s="8">
        <f t="shared" si="4"/>
        <v>478536.97000000003</v>
      </c>
      <c r="AC6" s="31"/>
      <c r="AE6" s="321">
        <f t="shared" si="5"/>
        <v>0</v>
      </c>
      <c r="AF6" s="321">
        <f t="shared" si="2"/>
        <v>0</v>
      </c>
      <c r="AG6" s="321">
        <f t="shared" si="2"/>
        <v>0</v>
      </c>
      <c r="AH6" s="321">
        <f t="shared" si="2"/>
        <v>0</v>
      </c>
      <c r="AI6" s="321">
        <f t="shared" si="2"/>
        <v>0</v>
      </c>
      <c r="AJ6" s="321">
        <f t="shared" si="2"/>
        <v>0</v>
      </c>
      <c r="AK6" s="321">
        <f t="shared" si="2"/>
        <v>0</v>
      </c>
      <c r="AL6" s="321">
        <f t="shared" si="2"/>
        <v>0</v>
      </c>
      <c r="AM6" s="321">
        <f t="shared" si="2"/>
        <v>0</v>
      </c>
      <c r="AN6" s="321">
        <f t="shared" si="2"/>
        <v>0</v>
      </c>
      <c r="AO6" s="321">
        <f t="shared" si="2"/>
        <v>0</v>
      </c>
      <c r="AP6" s="321">
        <f t="shared" si="2"/>
        <v>53705.89</v>
      </c>
      <c r="AQ6" s="321">
        <f t="shared" si="2"/>
        <v>0</v>
      </c>
      <c r="AR6" s="70">
        <f t="shared" si="3"/>
        <v>53705.89</v>
      </c>
    </row>
    <row r="7" spans="1:44" ht="10.5">
      <c r="A7" s="1" t="s">
        <v>970</v>
      </c>
      <c r="B7" s="4">
        <v>15057226</v>
      </c>
      <c r="C7" s="1" t="s">
        <v>716</v>
      </c>
      <c r="D7" s="1" t="s">
        <v>713</v>
      </c>
      <c r="O7" s="181">
        <v>156.22</v>
      </c>
      <c r="P7" s="184">
        <v>84.58</v>
      </c>
      <c r="Q7" s="229">
        <v>196.4</v>
      </c>
      <c r="R7" s="192">
        <v>134.88999999999999</v>
      </c>
      <c r="S7" s="195">
        <v>141.83000000000001</v>
      </c>
      <c r="T7" s="238">
        <v>57.03</v>
      </c>
      <c r="U7" s="212">
        <v>27.37</v>
      </c>
      <c r="V7" s="32"/>
      <c r="W7" s="217">
        <v>119.51</v>
      </c>
      <c r="X7" s="220">
        <v>47.01</v>
      </c>
      <c r="Y7" s="304">
        <v>123.9</v>
      </c>
      <c r="AA7" s="8">
        <f t="shared" si="4"/>
        <v>1088.74</v>
      </c>
      <c r="AC7" s="31"/>
      <c r="AE7" s="321">
        <f t="shared" si="5"/>
        <v>0</v>
      </c>
      <c r="AF7" s="321">
        <f t="shared" si="2"/>
        <v>0</v>
      </c>
      <c r="AG7" s="321">
        <f t="shared" si="2"/>
        <v>0</v>
      </c>
      <c r="AH7" s="321">
        <f t="shared" si="2"/>
        <v>0</v>
      </c>
      <c r="AI7" s="321">
        <f t="shared" si="2"/>
        <v>0</v>
      </c>
      <c r="AJ7" s="321">
        <f t="shared" si="2"/>
        <v>0</v>
      </c>
      <c r="AK7" s="321">
        <f t="shared" si="2"/>
        <v>0</v>
      </c>
      <c r="AL7" s="321">
        <f t="shared" si="2"/>
        <v>0</v>
      </c>
      <c r="AM7" s="321">
        <f t="shared" si="2"/>
        <v>0</v>
      </c>
      <c r="AN7" s="321">
        <f t="shared" si="2"/>
        <v>0</v>
      </c>
      <c r="AO7" s="321">
        <f t="shared" si="2"/>
        <v>0</v>
      </c>
      <c r="AP7" s="321">
        <f t="shared" si="2"/>
        <v>0</v>
      </c>
      <c r="AQ7" s="321">
        <f t="shared" si="2"/>
        <v>119.51</v>
      </c>
      <c r="AR7" s="70">
        <f t="shared" si="3"/>
        <v>119.51</v>
      </c>
    </row>
    <row r="8" spans="1:44" ht="10.5">
      <c r="A8" s="1" t="s">
        <v>970</v>
      </c>
      <c r="B8" s="4">
        <v>11275900</v>
      </c>
      <c r="D8" s="1" t="s">
        <v>853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8">
        <f t="shared" si="4"/>
        <v>0</v>
      </c>
      <c r="AC8" s="31"/>
      <c r="AE8" s="321">
        <f t="shared" si="5"/>
        <v>0</v>
      </c>
      <c r="AF8" s="321">
        <f t="shared" si="2"/>
        <v>0</v>
      </c>
      <c r="AG8" s="321">
        <f t="shared" si="2"/>
        <v>0</v>
      </c>
      <c r="AH8" s="321">
        <f t="shared" si="2"/>
        <v>0</v>
      </c>
      <c r="AI8" s="321">
        <f t="shared" si="2"/>
        <v>0</v>
      </c>
      <c r="AJ8" s="321">
        <f t="shared" si="2"/>
        <v>0</v>
      </c>
      <c r="AK8" s="321">
        <f t="shared" si="2"/>
        <v>0</v>
      </c>
      <c r="AL8" s="321">
        <f t="shared" si="2"/>
        <v>0</v>
      </c>
      <c r="AM8" s="321">
        <f t="shared" si="2"/>
        <v>0</v>
      </c>
      <c r="AN8" s="321">
        <f t="shared" si="2"/>
        <v>0</v>
      </c>
      <c r="AO8" s="321">
        <f t="shared" si="2"/>
        <v>0</v>
      </c>
      <c r="AP8" s="321">
        <f t="shared" si="2"/>
        <v>0</v>
      </c>
      <c r="AQ8" s="321">
        <f t="shared" si="2"/>
        <v>0</v>
      </c>
      <c r="AR8" s="70">
        <f t="shared" si="3"/>
        <v>0</v>
      </c>
    </row>
    <row r="9" spans="1:44" ht="10.5">
      <c r="A9" s="1" t="s">
        <v>530</v>
      </c>
      <c r="B9" s="4">
        <v>15051600</v>
      </c>
      <c r="D9" s="1" t="s">
        <v>876</v>
      </c>
      <c r="E9" s="336"/>
      <c r="H9" s="7"/>
      <c r="I9" s="7"/>
      <c r="M9" s="333"/>
      <c r="N9" s="332"/>
      <c r="O9" s="32"/>
      <c r="P9" s="184"/>
      <c r="Q9" s="32"/>
      <c r="R9" s="32"/>
      <c r="S9" s="32"/>
      <c r="T9" s="32"/>
      <c r="U9" s="32"/>
      <c r="V9" s="32"/>
      <c r="W9" s="217">
        <v>17497.2</v>
      </c>
      <c r="X9" s="220">
        <v>11032.19</v>
      </c>
      <c r="Y9" s="32"/>
      <c r="Z9" s="172">
        <v>20646.71</v>
      </c>
      <c r="AA9" s="8">
        <f t="shared" si="4"/>
        <v>49176.1</v>
      </c>
      <c r="AC9" s="31"/>
      <c r="AE9" s="321">
        <f t="shared" si="5"/>
        <v>0</v>
      </c>
      <c r="AF9" s="321">
        <f t="shared" si="2"/>
        <v>0</v>
      </c>
      <c r="AG9" s="321">
        <f t="shared" si="2"/>
        <v>0</v>
      </c>
      <c r="AH9" s="321">
        <f t="shared" si="2"/>
        <v>0</v>
      </c>
      <c r="AI9" s="321">
        <f t="shared" si="2"/>
        <v>17497.2</v>
      </c>
      <c r="AJ9" s="321">
        <f t="shared" si="2"/>
        <v>0</v>
      </c>
      <c r="AK9" s="321">
        <f t="shared" si="2"/>
        <v>0</v>
      </c>
      <c r="AL9" s="321">
        <f t="shared" si="2"/>
        <v>0</v>
      </c>
      <c r="AM9" s="321">
        <f t="shared" si="2"/>
        <v>0</v>
      </c>
      <c r="AN9" s="321">
        <f t="shared" si="2"/>
        <v>0</v>
      </c>
      <c r="AO9" s="321">
        <f t="shared" si="2"/>
        <v>0</v>
      </c>
      <c r="AP9" s="321">
        <f t="shared" si="2"/>
        <v>0</v>
      </c>
      <c r="AQ9" s="321">
        <f t="shared" si="2"/>
        <v>0</v>
      </c>
      <c r="AR9" s="70">
        <f t="shared" si="3"/>
        <v>17497.2</v>
      </c>
    </row>
    <row r="10" spans="1:44" ht="10.5">
      <c r="A10" s="1" t="s">
        <v>704</v>
      </c>
      <c r="B10" s="4">
        <v>15037169</v>
      </c>
      <c r="C10" s="1" t="s">
        <v>636</v>
      </c>
      <c r="D10" s="1" t="s">
        <v>733</v>
      </c>
      <c r="E10" s="337"/>
      <c r="F10" s="7">
        <v>107</v>
      </c>
      <c r="G10" s="1" t="s">
        <v>749</v>
      </c>
      <c r="H10" s="7">
        <v>37</v>
      </c>
      <c r="I10" s="7">
        <v>0</v>
      </c>
      <c r="J10" s="1" t="s">
        <v>748</v>
      </c>
      <c r="K10" s="1" t="s">
        <v>401</v>
      </c>
      <c r="L10" s="1" t="s">
        <v>745</v>
      </c>
      <c r="M10" s="333" t="s">
        <v>744</v>
      </c>
      <c r="N10" s="332">
        <v>40510</v>
      </c>
      <c r="O10" s="181">
        <v>1081.81</v>
      </c>
      <c r="P10" s="184">
        <v>975.18</v>
      </c>
      <c r="Q10" s="229">
        <v>2238.42</v>
      </c>
      <c r="R10" s="192">
        <v>3198.9</v>
      </c>
      <c r="S10" s="238">
        <v>1691.85</v>
      </c>
      <c r="T10" s="238">
        <v>1447.72</v>
      </c>
      <c r="U10" s="347">
        <v>1523.56</v>
      </c>
      <c r="V10" s="212">
        <v>1418.58</v>
      </c>
      <c r="W10" s="217">
        <v>1860.17</v>
      </c>
      <c r="X10" s="220">
        <v>3389.12</v>
      </c>
      <c r="Y10" s="304">
        <v>4404.6000000000004</v>
      </c>
      <c r="Z10" s="172">
        <v>3482.57</v>
      </c>
      <c r="AA10" s="8">
        <f t="shared" si="4"/>
        <v>26712.479999999996</v>
      </c>
      <c r="AC10" s="31"/>
      <c r="AE10" s="321">
        <f t="shared" si="5"/>
        <v>0</v>
      </c>
      <c r="AF10" s="321">
        <f t="shared" si="2"/>
        <v>0</v>
      </c>
      <c r="AG10" s="321">
        <f t="shared" si="2"/>
        <v>0</v>
      </c>
      <c r="AH10" s="321">
        <f t="shared" si="2"/>
        <v>0</v>
      </c>
      <c r="AI10" s="321">
        <f t="shared" si="2"/>
        <v>0</v>
      </c>
      <c r="AJ10" s="321">
        <f t="shared" si="2"/>
        <v>0</v>
      </c>
      <c r="AK10" s="321">
        <f t="shared" si="2"/>
        <v>0</v>
      </c>
      <c r="AL10" s="321">
        <f t="shared" si="2"/>
        <v>0</v>
      </c>
      <c r="AM10" s="321">
        <f t="shared" si="2"/>
        <v>0</v>
      </c>
      <c r="AN10" s="321">
        <f t="shared" si="2"/>
        <v>0</v>
      </c>
      <c r="AO10" s="321">
        <f t="shared" si="2"/>
        <v>1860.17</v>
      </c>
      <c r="AP10" s="321">
        <f t="shared" si="2"/>
        <v>0</v>
      </c>
      <c r="AQ10" s="321">
        <f t="shared" si="2"/>
        <v>0</v>
      </c>
      <c r="AR10" s="70">
        <f t="shared" si="3"/>
        <v>1860.17</v>
      </c>
    </row>
    <row r="11" spans="1:44" ht="10.5">
      <c r="A11" s="1" t="s">
        <v>705</v>
      </c>
      <c r="B11" s="4">
        <v>15059510</v>
      </c>
      <c r="C11" s="1" t="s">
        <v>833</v>
      </c>
      <c r="D11" s="1" t="s">
        <v>833</v>
      </c>
      <c r="F11" s="32"/>
      <c r="G11" s="32"/>
      <c r="H11" s="32"/>
      <c r="I11" s="32"/>
      <c r="J11" s="32"/>
      <c r="K11" s="32"/>
      <c r="L11" s="32"/>
      <c r="M11" s="32"/>
      <c r="N11" s="32"/>
      <c r="O11" s="181">
        <v>224.26</v>
      </c>
      <c r="P11" s="184">
        <v>211.9</v>
      </c>
      <c r="Q11" s="229">
        <v>374.32</v>
      </c>
      <c r="R11" s="192">
        <v>392.46</v>
      </c>
      <c r="S11" s="195">
        <v>214.78</v>
      </c>
      <c r="T11" s="238">
        <v>259.72000000000003</v>
      </c>
      <c r="U11" s="347">
        <v>24.41</v>
      </c>
      <c r="V11" s="212">
        <v>77.83</v>
      </c>
      <c r="W11" s="217">
        <v>164.32</v>
      </c>
      <c r="X11" s="220">
        <v>340.19</v>
      </c>
      <c r="Y11" s="304">
        <v>454.7</v>
      </c>
      <c r="Z11" s="172">
        <v>287.17</v>
      </c>
      <c r="AA11" s="8">
        <f t="shared" si="4"/>
        <v>3026.06</v>
      </c>
      <c r="AC11" s="31"/>
      <c r="AE11" s="321">
        <f t="shared" si="5"/>
        <v>0</v>
      </c>
      <c r="AF11" s="321">
        <f t="shared" si="2"/>
        <v>0</v>
      </c>
      <c r="AG11" s="321">
        <f t="shared" si="2"/>
        <v>0</v>
      </c>
      <c r="AH11" s="321">
        <f t="shared" si="2"/>
        <v>0</v>
      </c>
      <c r="AI11" s="321">
        <f t="shared" si="2"/>
        <v>0</v>
      </c>
      <c r="AJ11" s="321">
        <f t="shared" si="2"/>
        <v>0</v>
      </c>
      <c r="AK11" s="321">
        <f t="shared" si="2"/>
        <v>0</v>
      </c>
      <c r="AL11" s="321">
        <f t="shared" si="2"/>
        <v>0</v>
      </c>
      <c r="AM11" s="321">
        <f t="shared" si="2"/>
        <v>0</v>
      </c>
      <c r="AN11" s="321">
        <f t="shared" si="2"/>
        <v>0</v>
      </c>
      <c r="AO11" s="321">
        <f t="shared" si="2"/>
        <v>164.32</v>
      </c>
      <c r="AP11" s="321">
        <f t="shared" si="2"/>
        <v>0</v>
      </c>
      <c r="AQ11" s="321">
        <f t="shared" si="2"/>
        <v>0</v>
      </c>
      <c r="AR11" s="70">
        <f t="shared" si="3"/>
        <v>164.32</v>
      </c>
    </row>
    <row r="12" spans="1:44" ht="10.5">
      <c r="A12" s="1" t="s">
        <v>533</v>
      </c>
      <c r="B12" s="4">
        <v>15008670</v>
      </c>
      <c r="C12" s="1" t="s">
        <v>114</v>
      </c>
      <c r="D12" s="1" t="s">
        <v>114</v>
      </c>
      <c r="E12" s="7">
        <v>1987</v>
      </c>
      <c r="F12" s="7">
        <v>117</v>
      </c>
      <c r="G12" s="1" t="s">
        <v>114</v>
      </c>
      <c r="H12" s="7">
        <v>100</v>
      </c>
      <c r="I12" s="7">
        <v>1</v>
      </c>
      <c r="K12" s="1" t="s">
        <v>403</v>
      </c>
      <c r="L12" s="1" t="s">
        <v>745</v>
      </c>
      <c r="M12" s="333" t="s">
        <v>744</v>
      </c>
      <c r="N12" s="332">
        <v>40509</v>
      </c>
      <c r="O12" s="181">
        <v>5904.04</v>
      </c>
      <c r="P12" s="184">
        <v>6168.6</v>
      </c>
      <c r="Q12" s="229">
        <v>7196.19</v>
      </c>
      <c r="R12" s="192">
        <v>6682.22</v>
      </c>
      <c r="S12" s="195">
        <v>5272.46</v>
      </c>
      <c r="T12" s="238">
        <v>3625.07</v>
      </c>
      <c r="U12" s="347">
        <v>2749.02</v>
      </c>
      <c r="V12" s="212">
        <v>3446.75</v>
      </c>
      <c r="W12" s="217">
        <v>4375.13</v>
      </c>
      <c r="X12" s="220">
        <v>5790.19</v>
      </c>
      <c r="Y12" s="304">
        <v>5859.22</v>
      </c>
      <c r="Z12" s="172">
        <v>5494.94</v>
      </c>
      <c r="AA12" s="8">
        <f t="shared" si="4"/>
        <v>62563.83</v>
      </c>
      <c r="AC12" s="31"/>
      <c r="AE12" s="321">
        <f t="shared" si="5"/>
        <v>0</v>
      </c>
      <c r="AF12" s="321">
        <f t="shared" si="2"/>
        <v>0</v>
      </c>
      <c r="AG12" s="321">
        <f t="shared" si="2"/>
        <v>0</v>
      </c>
      <c r="AH12" s="321">
        <f t="shared" si="2"/>
        <v>0</v>
      </c>
      <c r="AI12" s="321">
        <f t="shared" si="2"/>
        <v>0</v>
      </c>
      <c r="AJ12" s="321">
        <f t="shared" si="2"/>
        <v>0</v>
      </c>
      <c r="AK12" s="321">
        <f t="shared" si="2"/>
        <v>0</v>
      </c>
      <c r="AL12" s="321">
        <f t="shared" si="2"/>
        <v>4375.13</v>
      </c>
      <c r="AM12" s="321">
        <f t="shared" si="2"/>
        <v>0</v>
      </c>
      <c r="AN12" s="321">
        <f t="shared" si="2"/>
        <v>0</v>
      </c>
      <c r="AO12" s="321">
        <f t="shared" si="2"/>
        <v>0</v>
      </c>
      <c r="AP12" s="321">
        <f t="shared" si="2"/>
        <v>0</v>
      </c>
      <c r="AQ12" s="321">
        <f t="shared" si="2"/>
        <v>0</v>
      </c>
      <c r="AR12" s="70">
        <f t="shared" si="3"/>
        <v>4375.13</v>
      </c>
    </row>
    <row r="13" spans="1:44" ht="10.5">
      <c r="A13" s="1" t="s">
        <v>664</v>
      </c>
      <c r="B13" s="4">
        <v>70000000</v>
      </c>
      <c r="C13" s="1" t="s">
        <v>229</v>
      </c>
      <c r="D13" s="1" t="s">
        <v>229</v>
      </c>
      <c r="E13" s="7"/>
      <c r="F13" s="7">
        <v>89</v>
      </c>
      <c r="G13" s="1" t="s">
        <v>229</v>
      </c>
      <c r="H13" s="7">
        <v>42</v>
      </c>
      <c r="I13" s="7">
        <v>0</v>
      </c>
      <c r="K13" s="1" t="s">
        <v>826</v>
      </c>
      <c r="L13" s="1" t="s">
        <v>745</v>
      </c>
      <c r="M13" s="333" t="s">
        <v>744</v>
      </c>
      <c r="N13" s="332">
        <v>40505</v>
      </c>
      <c r="O13" s="181">
        <v>1477.21</v>
      </c>
      <c r="P13" s="192">
        <v>1511.38</v>
      </c>
      <c r="Q13" s="229">
        <v>1387.96</v>
      </c>
      <c r="R13" s="192">
        <v>1544.19</v>
      </c>
      <c r="S13" s="195">
        <v>1357.03</v>
      </c>
      <c r="T13" s="238">
        <v>1299.23</v>
      </c>
      <c r="U13" s="347">
        <v>1132.2</v>
      </c>
      <c r="V13" s="212">
        <v>1339.18</v>
      </c>
      <c r="W13" s="217">
        <v>1492.37</v>
      </c>
      <c r="X13" s="220">
        <v>1425.28</v>
      </c>
      <c r="Y13" s="304">
        <v>1453.08</v>
      </c>
      <c r="Z13" s="172">
        <v>1598.17</v>
      </c>
      <c r="AA13" s="8">
        <f t="shared" si="4"/>
        <v>17017.28</v>
      </c>
      <c r="AC13" s="31"/>
      <c r="AE13" s="321">
        <f t="shared" si="5"/>
        <v>0</v>
      </c>
      <c r="AF13" s="321">
        <f t="shared" si="2"/>
        <v>0</v>
      </c>
      <c r="AG13" s="321">
        <f t="shared" si="2"/>
        <v>0</v>
      </c>
      <c r="AH13" s="321">
        <f t="shared" si="2"/>
        <v>0</v>
      </c>
      <c r="AI13" s="321">
        <f t="shared" si="2"/>
        <v>0</v>
      </c>
      <c r="AJ13" s="321">
        <f t="shared" si="2"/>
        <v>0</v>
      </c>
      <c r="AK13" s="321">
        <f t="shared" si="2"/>
        <v>0</v>
      </c>
      <c r="AL13" s="321">
        <f t="shared" si="2"/>
        <v>0</v>
      </c>
      <c r="AM13" s="321">
        <f t="shared" si="2"/>
        <v>0</v>
      </c>
      <c r="AN13" s="321">
        <f t="shared" si="2"/>
        <v>1492.37</v>
      </c>
      <c r="AO13" s="321">
        <f t="shared" si="2"/>
        <v>0</v>
      </c>
      <c r="AP13" s="321">
        <f t="shared" si="2"/>
        <v>0</v>
      </c>
      <c r="AQ13" s="321">
        <f t="shared" si="2"/>
        <v>0</v>
      </c>
      <c r="AR13" s="70">
        <f t="shared" si="3"/>
        <v>1492.37</v>
      </c>
    </row>
    <row r="14" spans="1:44" ht="10.5">
      <c r="A14" s="1" t="s">
        <v>970</v>
      </c>
      <c r="B14" s="4">
        <v>15037912</v>
      </c>
      <c r="C14" s="1" t="s">
        <v>692</v>
      </c>
      <c r="D14" s="1" t="s">
        <v>880</v>
      </c>
      <c r="O14" s="181">
        <v>46.75</v>
      </c>
      <c r="P14" s="32"/>
      <c r="Q14" s="32"/>
      <c r="R14" s="192">
        <v>286.02999999999997</v>
      </c>
      <c r="S14" s="32"/>
      <c r="T14" s="238">
        <v>26.8</v>
      </c>
      <c r="U14" s="32"/>
      <c r="V14" s="32"/>
      <c r="W14" s="32"/>
      <c r="X14" s="32"/>
      <c r="Y14" s="32"/>
      <c r="Z14" s="172">
        <v>74.87</v>
      </c>
      <c r="AA14" s="8">
        <f t="shared" si="4"/>
        <v>434.45</v>
      </c>
      <c r="AC14" s="31"/>
      <c r="AE14" s="321">
        <f t="shared" si="5"/>
        <v>0</v>
      </c>
      <c r="AF14" s="321">
        <f t="shared" si="2"/>
        <v>0</v>
      </c>
      <c r="AG14" s="321">
        <f t="shared" si="2"/>
        <v>0</v>
      </c>
      <c r="AH14" s="321">
        <f t="shared" si="2"/>
        <v>0</v>
      </c>
      <c r="AI14" s="321">
        <f t="shared" si="2"/>
        <v>0</v>
      </c>
      <c r="AJ14" s="321">
        <f t="shared" si="2"/>
        <v>0</v>
      </c>
      <c r="AK14" s="321">
        <f t="shared" si="2"/>
        <v>0</v>
      </c>
      <c r="AL14" s="321">
        <f t="shared" si="2"/>
        <v>0</v>
      </c>
      <c r="AM14" s="321">
        <f t="shared" si="2"/>
        <v>0</v>
      </c>
      <c r="AN14" s="321">
        <f t="shared" si="2"/>
        <v>0</v>
      </c>
      <c r="AO14" s="321">
        <f t="shared" si="2"/>
        <v>0</v>
      </c>
      <c r="AP14" s="321">
        <f t="shared" si="2"/>
        <v>0</v>
      </c>
      <c r="AQ14" s="321">
        <f t="shared" si="2"/>
        <v>0</v>
      </c>
      <c r="AR14" s="70">
        <f t="shared" si="3"/>
        <v>0</v>
      </c>
    </row>
    <row r="15" spans="1:44" ht="10.5">
      <c r="A15" s="1" t="s">
        <v>970</v>
      </c>
      <c r="B15" s="4">
        <v>15064067</v>
      </c>
      <c r="D15" s="1" t="s">
        <v>894</v>
      </c>
      <c r="O15" s="32"/>
      <c r="P15" s="32"/>
      <c r="Q15" s="32"/>
      <c r="R15" s="32"/>
      <c r="S15" s="32"/>
      <c r="T15" s="32"/>
      <c r="U15" s="32"/>
      <c r="V15" s="32"/>
      <c r="W15" s="217">
        <v>91.15</v>
      </c>
      <c r="X15" s="220">
        <v>222.37</v>
      </c>
      <c r="Y15" s="304">
        <v>299.26</v>
      </c>
      <c r="Z15" s="172">
        <v>454.04</v>
      </c>
      <c r="AA15" s="8">
        <f t="shared" si="4"/>
        <v>1066.82</v>
      </c>
      <c r="AC15" s="31"/>
      <c r="AE15" s="321">
        <f t="shared" si="5"/>
        <v>0</v>
      </c>
      <c r="AF15" s="321">
        <f t="shared" si="2"/>
        <v>0</v>
      </c>
      <c r="AG15" s="321">
        <f t="shared" si="2"/>
        <v>0</v>
      </c>
      <c r="AH15" s="321">
        <f t="shared" si="2"/>
        <v>0</v>
      </c>
      <c r="AI15" s="321">
        <f t="shared" si="2"/>
        <v>0</v>
      </c>
      <c r="AJ15" s="321">
        <f t="shared" si="2"/>
        <v>0</v>
      </c>
      <c r="AK15" s="321">
        <f t="shared" si="2"/>
        <v>0</v>
      </c>
      <c r="AL15" s="321">
        <f t="shared" si="2"/>
        <v>0</v>
      </c>
      <c r="AM15" s="321">
        <f t="shared" si="2"/>
        <v>0</v>
      </c>
      <c r="AN15" s="321">
        <f t="shared" si="2"/>
        <v>0</v>
      </c>
      <c r="AO15" s="321">
        <f t="shared" si="2"/>
        <v>0</v>
      </c>
      <c r="AP15" s="321">
        <f t="shared" si="2"/>
        <v>0</v>
      </c>
      <c r="AQ15" s="321">
        <f t="shared" si="2"/>
        <v>91.15</v>
      </c>
      <c r="AR15" s="70">
        <f t="shared" si="3"/>
        <v>91.15</v>
      </c>
    </row>
    <row r="16" spans="1:44" ht="10.5">
      <c r="A16" s="1" t="s">
        <v>970</v>
      </c>
      <c r="B16" s="4">
        <v>15057248</v>
      </c>
      <c r="D16" s="1" t="s">
        <v>879</v>
      </c>
      <c r="O16" s="32"/>
      <c r="P16" s="32"/>
      <c r="Q16" s="229">
        <v>98.6</v>
      </c>
      <c r="R16" s="192">
        <f>155.47+98.6</f>
        <v>254.07</v>
      </c>
      <c r="S16" s="195">
        <v>3.57</v>
      </c>
      <c r="T16" s="238">
        <v>71.819999999999993</v>
      </c>
      <c r="U16" s="32"/>
      <c r="V16" s="32"/>
      <c r="W16" s="32"/>
      <c r="X16" s="220">
        <v>302.77</v>
      </c>
      <c r="Y16" s="304">
        <v>166.35</v>
      </c>
      <c r="Z16" s="172">
        <v>193.38</v>
      </c>
      <c r="AA16" s="8">
        <f t="shared" si="4"/>
        <v>1090.56</v>
      </c>
      <c r="AC16" s="31"/>
      <c r="AE16" s="321">
        <f t="shared" si="5"/>
        <v>0</v>
      </c>
      <c r="AF16" s="321">
        <f t="shared" si="2"/>
        <v>0</v>
      </c>
      <c r="AG16" s="321">
        <f t="shared" si="2"/>
        <v>0</v>
      </c>
      <c r="AH16" s="321">
        <f t="shared" si="2"/>
        <v>0</v>
      </c>
      <c r="AI16" s="321">
        <f t="shared" si="2"/>
        <v>0</v>
      </c>
      <c r="AJ16" s="321">
        <f t="shared" si="2"/>
        <v>0</v>
      </c>
      <c r="AK16" s="321">
        <f t="shared" si="2"/>
        <v>0</v>
      </c>
      <c r="AL16" s="321">
        <f t="shared" si="2"/>
        <v>0</v>
      </c>
      <c r="AM16" s="321">
        <f t="shared" si="2"/>
        <v>0</v>
      </c>
      <c r="AN16" s="321">
        <f t="shared" si="2"/>
        <v>0</v>
      </c>
      <c r="AO16" s="321">
        <f t="shared" si="2"/>
        <v>0</v>
      </c>
      <c r="AP16" s="321">
        <f t="shared" si="2"/>
        <v>0</v>
      </c>
      <c r="AQ16" s="321">
        <f t="shared" si="2"/>
        <v>0</v>
      </c>
      <c r="AR16" s="70">
        <f t="shared" si="3"/>
        <v>0</v>
      </c>
    </row>
    <row r="17" spans="1:44" ht="10.5">
      <c r="A17" s="1" t="s">
        <v>535</v>
      </c>
      <c r="B17" s="4">
        <v>7003201</v>
      </c>
      <c r="C17" s="1" t="s">
        <v>525</v>
      </c>
      <c r="D17" s="1" t="s">
        <v>385</v>
      </c>
      <c r="E17" s="338">
        <v>40057</v>
      </c>
      <c r="F17" s="7">
        <v>4130</v>
      </c>
      <c r="G17" s="1" t="s">
        <v>385</v>
      </c>
      <c r="H17" s="7">
        <v>80</v>
      </c>
      <c r="I17" s="7"/>
      <c r="J17" s="1" t="s">
        <v>753</v>
      </c>
      <c r="K17" s="1" t="s">
        <v>752</v>
      </c>
      <c r="L17" s="1" t="s">
        <v>745</v>
      </c>
      <c r="M17" s="333" t="s">
        <v>744</v>
      </c>
      <c r="N17" s="332">
        <v>40511</v>
      </c>
      <c r="O17" s="181">
        <v>14957.39</v>
      </c>
      <c r="P17" s="184">
        <v>12736.81</v>
      </c>
      <c r="Q17" s="229">
        <v>14069.32</v>
      </c>
      <c r="R17" s="192">
        <v>17253.91</v>
      </c>
      <c r="S17" s="195">
        <v>11799.2</v>
      </c>
      <c r="T17" s="238">
        <v>7888.91</v>
      </c>
      <c r="U17" s="347">
        <v>8506.5</v>
      </c>
      <c r="V17" s="212">
        <v>8809.84</v>
      </c>
      <c r="W17" s="217">
        <v>13280.92</v>
      </c>
      <c r="X17" s="220">
        <v>16143.71</v>
      </c>
      <c r="Y17" s="304">
        <v>16304.67</v>
      </c>
      <c r="Z17" s="172">
        <v>33727.53</v>
      </c>
      <c r="AA17" s="8">
        <f t="shared" si="4"/>
        <v>175478.71</v>
      </c>
      <c r="AC17" s="31"/>
      <c r="AE17" s="321">
        <f t="shared" si="5"/>
        <v>0</v>
      </c>
      <c r="AF17" s="321">
        <f t="shared" si="2"/>
        <v>0</v>
      </c>
      <c r="AG17" s="321">
        <f t="shared" si="2"/>
        <v>0</v>
      </c>
      <c r="AH17" s="321">
        <f t="shared" si="2"/>
        <v>0</v>
      </c>
      <c r="AI17" s="321">
        <f t="shared" si="2"/>
        <v>0</v>
      </c>
      <c r="AJ17" s="321">
        <f t="shared" si="2"/>
        <v>13280.92</v>
      </c>
      <c r="AK17" s="321">
        <f t="shared" si="2"/>
        <v>0</v>
      </c>
      <c r="AL17" s="321">
        <f t="shared" si="2"/>
        <v>0</v>
      </c>
      <c r="AM17" s="321">
        <f t="shared" si="2"/>
        <v>0</v>
      </c>
      <c r="AN17" s="321">
        <f t="shared" si="2"/>
        <v>0</v>
      </c>
      <c r="AO17" s="321">
        <f t="shared" si="2"/>
        <v>0</v>
      </c>
      <c r="AP17" s="321">
        <f t="shared" si="2"/>
        <v>0</v>
      </c>
      <c r="AQ17" s="321">
        <f t="shared" si="2"/>
        <v>0</v>
      </c>
      <c r="AR17" s="70">
        <f t="shared" ref="AR17:AR46" si="6">+SUM(AE17:AQ17)</f>
        <v>13280.92</v>
      </c>
    </row>
    <row r="18" spans="1:44" s="17" customFormat="1" ht="10.5">
      <c r="A18" s="1" t="s">
        <v>970</v>
      </c>
      <c r="B18" s="4">
        <v>15063096</v>
      </c>
      <c r="C18" s="1"/>
      <c r="D18" s="1" t="s">
        <v>882</v>
      </c>
      <c r="E18" s="1"/>
      <c r="F18" s="7"/>
      <c r="G18" s="1"/>
      <c r="H18" s="1"/>
      <c r="I18" s="1"/>
      <c r="J18" s="1"/>
      <c r="K18" s="1"/>
      <c r="L18" s="1"/>
      <c r="M18" s="1"/>
      <c r="N18" s="1"/>
      <c r="O18" s="238">
        <v>183.09</v>
      </c>
      <c r="P18" s="238">
        <v>81.430000000000007</v>
      </c>
      <c r="Q18" s="238">
        <v>186.41</v>
      </c>
      <c r="R18" s="347">
        <v>345.53</v>
      </c>
      <c r="S18" s="347">
        <v>183.6</v>
      </c>
      <c r="T18" s="347">
        <v>128.57</v>
      </c>
      <c r="U18" s="220">
        <v>10.11</v>
      </c>
      <c r="V18" s="220">
        <v>107.95</v>
      </c>
      <c r="W18" s="220">
        <v>187</v>
      </c>
      <c r="X18" s="32"/>
      <c r="Y18" s="32"/>
      <c r="Z18" s="32"/>
      <c r="AA18" s="8">
        <f t="shared" si="4"/>
        <v>1413.6899999999998</v>
      </c>
      <c r="AB18" s="1"/>
      <c r="AC18" s="31"/>
      <c r="AE18" s="321">
        <f t="shared" si="5"/>
        <v>0</v>
      </c>
      <c r="AF18" s="321">
        <f t="shared" si="2"/>
        <v>0</v>
      </c>
      <c r="AG18" s="321">
        <f t="shared" si="2"/>
        <v>0</v>
      </c>
      <c r="AH18" s="321">
        <f t="shared" si="2"/>
        <v>0</v>
      </c>
      <c r="AI18" s="321">
        <f t="shared" si="2"/>
        <v>0</v>
      </c>
      <c r="AJ18" s="321">
        <f t="shared" si="2"/>
        <v>0</v>
      </c>
      <c r="AK18" s="321">
        <f t="shared" si="2"/>
        <v>0</v>
      </c>
      <c r="AL18" s="321">
        <f t="shared" si="2"/>
        <v>0</v>
      </c>
      <c r="AM18" s="321">
        <f t="shared" si="2"/>
        <v>0</v>
      </c>
      <c r="AN18" s="321">
        <f t="shared" si="2"/>
        <v>0</v>
      </c>
      <c r="AO18" s="321">
        <f t="shared" si="2"/>
        <v>0</v>
      </c>
      <c r="AP18" s="321">
        <f t="shared" si="2"/>
        <v>0</v>
      </c>
      <c r="AQ18" s="321">
        <f t="shared" si="2"/>
        <v>187</v>
      </c>
      <c r="AR18" s="70">
        <f t="shared" si="6"/>
        <v>187</v>
      </c>
    </row>
    <row r="19" spans="1:44" ht="10.5">
      <c r="A19" s="1" t="s">
        <v>662</v>
      </c>
      <c r="B19" s="42">
        <v>7000200</v>
      </c>
      <c r="C19" s="11" t="s">
        <v>230</v>
      </c>
      <c r="D19" s="11" t="s">
        <v>230</v>
      </c>
      <c r="E19" s="7"/>
      <c r="F19" s="340">
        <v>90</v>
      </c>
      <c r="G19" s="1" t="s">
        <v>230</v>
      </c>
      <c r="H19" s="7">
        <v>72</v>
      </c>
      <c r="I19" s="7">
        <v>0</v>
      </c>
      <c r="K19" s="1" t="s">
        <v>405</v>
      </c>
      <c r="L19" s="1" t="s">
        <v>745</v>
      </c>
      <c r="M19" s="333" t="s">
        <v>744</v>
      </c>
      <c r="N19" s="332">
        <v>40505</v>
      </c>
      <c r="O19" s="32"/>
      <c r="P19" s="32"/>
      <c r="Q19" s="32"/>
      <c r="R19" s="32"/>
      <c r="S19" s="32"/>
      <c r="T19" s="32"/>
      <c r="U19" s="32"/>
      <c r="V19" s="195">
        <v>2059.3000000000002</v>
      </c>
      <c r="W19" s="217">
        <v>4807.7299999999996</v>
      </c>
      <c r="X19" s="32"/>
      <c r="Y19" s="32"/>
      <c r="Z19" s="32"/>
      <c r="AA19" s="8">
        <f t="shared" si="4"/>
        <v>6867.03</v>
      </c>
      <c r="AC19" s="31"/>
      <c r="AE19" s="321">
        <f t="shared" si="5"/>
        <v>0</v>
      </c>
      <c r="AF19" s="321">
        <f t="shared" si="5"/>
        <v>0</v>
      </c>
      <c r="AG19" s="321">
        <f t="shared" si="5"/>
        <v>4807.7299999999996</v>
      </c>
      <c r="AH19" s="321">
        <f t="shared" si="5"/>
        <v>0</v>
      </c>
      <c r="AI19" s="321">
        <f t="shared" si="5"/>
        <v>0</v>
      </c>
      <c r="AJ19" s="321">
        <f t="shared" si="5"/>
        <v>0</v>
      </c>
      <c r="AK19" s="321">
        <f t="shared" si="5"/>
        <v>0</v>
      </c>
      <c r="AL19" s="321">
        <f t="shared" si="5"/>
        <v>0</v>
      </c>
      <c r="AM19" s="321">
        <f t="shared" si="5"/>
        <v>0</v>
      </c>
      <c r="AN19" s="321">
        <f t="shared" si="5"/>
        <v>0</v>
      </c>
      <c r="AO19" s="321">
        <f t="shared" si="5"/>
        <v>0</v>
      </c>
      <c r="AP19" s="321">
        <f t="shared" si="5"/>
        <v>0</v>
      </c>
      <c r="AQ19" s="321">
        <f t="shared" si="5"/>
        <v>0</v>
      </c>
      <c r="AR19" s="70">
        <f t="shared" si="6"/>
        <v>4807.7299999999996</v>
      </c>
    </row>
    <row r="20" spans="1:44" ht="10.5">
      <c r="A20" s="1" t="s">
        <v>970</v>
      </c>
      <c r="B20" s="4">
        <v>15060395</v>
      </c>
      <c r="D20" s="1" t="s">
        <v>857</v>
      </c>
      <c r="O20" s="181">
        <v>51.52</v>
      </c>
      <c r="P20" s="32"/>
      <c r="Q20" s="229">
        <v>120.35</v>
      </c>
      <c r="R20" s="32"/>
      <c r="S20" s="195">
        <v>44.22</v>
      </c>
      <c r="T20" s="32"/>
      <c r="U20" s="32"/>
      <c r="V20" s="32"/>
      <c r="W20" s="32"/>
      <c r="X20" s="32"/>
      <c r="Y20" s="32"/>
      <c r="Z20" s="32"/>
      <c r="AA20" s="8">
        <f t="shared" si="4"/>
        <v>216.09</v>
      </c>
      <c r="AC20" s="31"/>
      <c r="AE20" s="321">
        <f t="shared" si="5"/>
        <v>0</v>
      </c>
      <c r="AF20" s="321">
        <f t="shared" si="5"/>
        <v>0</v>
      </c>
      <c r="AG20" s="321">
        <f t="shared" si="5"/>
        <v>0</v>
      </c>
      <c r="AH20" s="321">
        <f t="shared" si="5"/>
        <v>0</v>
      </c>
      <c r="AI20" s="321">
        <f t="shared" si="5"/>
        <v>0</v>
      </c>
      <c r="AJ20" s="321">
        <f t="shared" si="5"/>
        <v>0</v>
      </c>
      <c r="AK20" s="321">
        <f t="shared" si="5"/>
        <v>0</v>
      </c>
      <c r="AL20" s="321">
        <f t="shared" si="5"/>
        <v>0</v>
      </c>
      <c r="AM20" s="321">
        <f t="shared" si="5"/>
        <v>0</v>
      </c>
      <c r="AN20" s="321">
        <f t="shared" si="5"/>
        <v>0</v>
      </c>
      <c r="AO20" s="321">
        <f t="shared" si="5"/>
        <v>0</v>
      </c>
      <c r="AP20" s="321">
        <f t="shared" si="5"/>
        <v>0</v>
      </c>
      <c r="AQ20" s="321">
        <f t="shared" si="5"/>
        <v>0</v>
      </c>
      <c r="AR20" s="70">
        <f t="shared" si="6"/>
        <v>0</v>
      </c>
    </row>
    <row r="21" spans="1:44" ht="10.5">
      <c r="A21" s="1" t="s">
        <v>970</v>
      </c>
      <c r="B21" s="42">
        <v>15005197</v>
      </c>
      <c r="C21" s="11" t="s">
        <v>689</v>
      </c>
      <c r="D21" s="11" t="s">
        <v>600</v>
      </c>
      <c r="E21" s="11"/>
      <c r="F21" s="340"/>
      <c r="G21" s="11"/>
      <c r="H21" s="11"/>
      <c r="I21" s="11"/>
      <c r="J21" s="11"/>
      <c r="K21" s="11"/>
      <c r="L21" s="11"/>
      <c r="M21" s="11"/>
      <c r="N21" s="11"/>
      <c r="O21" s="181">
        <v>55.88</v>
      </c>
      <c r="P21" s="184">
        <f>95.88+267.5</f>
        <v>363.38</v>
      </c>
      <c r="Q21" s="229">
        <v>188.7</v>
      </c>
      <c r="R21" s="192">
        <v>57.58</v>
      </c>
      <c r="S21" s="195">
        <v>59.07</v>
      </c>
      <c r="T21" s="32"/>
      <c r="U21" s="347">
        <v>136.76</v>
      </c>
      <c r="V21" s="212">
        <v>86.49</v>
      </c>
      <c r="W21" s="32"/>
      <c r="X21" s="220">
        <v>351.64</v>
      </c>
      <c r="Y21" s="32"/>
      <c r="Z21" s="32"/>
      <c r="AA21" s="8">
        <f t="shared" si="4"/>
        <v>1299.5</v>
      </c>
      <c r="AC21" s="31"/>
      <c r="AE21" s="321">
        <f t="shared" si="5"/>
        <v>0</v>
      </c>
      <c r="AF21" s="321">
        <f t="shared" si="5"/>
        <v>0</v>
      </c>
      <c r="AG21" s="321">
        <f t="shared" si="5"/>
        <v>0</v>
      </c>
      <c r="AH21" s="321">
        <f t="shared" si="5"/>
        <v>0</v>
      </c>
      <c r="AI21" s="321">
        <f t="shared" si="5"/>
        <v>0</v>
      </c>
      <c r="AJ21" s="321">
        <f t="shared" si="5"/>
        <v>0</v>
      </c>
      <c r="AK21" s="321">
        <f t="shared" si="5"/>
        <v>0</v>
      </c>
      <c r="AL21" s="321">
        <f t="shared" si="5"/>
        <v>0</v>
      </c>
      <c r="AM21" s="321">
        <f t="shared" si="5"/>
        <v>0</v>
      </c>
      <c r="AN21" s="321">
        <f t="shared" si="5"/>
        <v>0</v>
      </c>
      <c r="AO21" s="321">
        <f t="shared" si="5"/>
        <v>0</v>
      </c>
      <c r="AP21" s="321">
        <f t="shared" si="5"/>
        <v>0</v>
      </c>
      <c r="AQ21" s="321">
        <f t="shared" si="5"/>
        <v>0</v>
      </c>
      <c r="AR21" s="70">
        <f t="shared" si="6"/>
        <v>0</v>
      </c>
    </row>
    <row r="22" spans="1:44" ht="10.5">
      <c r="A22" s="1" t="s">
        <v>535</v>
      </c>
      <c r="B22" s="42">
        <v>15051607</v>
      </c>
      <c r="C22" s="11" t="s">
        <v>640</v>
      </c>
      <c r="D22" s="11" t="s">
        <v>641</v>
      </c>
      <c r="E22" s="338">
        <v>24108</v>
      </c>
      <c r="F22" s="340">
        <v>131</v>
      </c>
      <c r="G22" s="1" t="s">
        <v>755</v>
      </c>
      <c r="H22" s="7">
        <v>291</v>
      </c>
      <c r="I22" s="7">
        <v>11</v>
      </c>
      <c r="J22" s="1" t="s">
        <v>754</v>
      </c>
      <c r="K22" s="1" t="s">
        <v>400</v>
      </c>
      <c r="L22" s="1" t="s">
        <v>745</v>
      </c>
      <c r="M22" s="333" t="s">
        <v>744</v>
      </c>
      <c r="N22" s="332">
        <v>40511</v>
      </c>
      <c r="O22" s="181">
        <v>49406.6</v>
      </c>
      <c r="P22" s="184">
        <v>42068.01</v>
      </c>
      <c r="Q22" s="229">
        <v>43966.43</v>
      </c>
      <c r="R22" s="195">
        <v>47694.1</v>
      </c>
      <c r="S22" s="347">
        <v>21604.98</v>
      </c>
      <c r="T22" s="32"/>
      <c r="U22" s="217">
        <v>12713.79</v>
      </c>
      <c r="V22" s="212">
        <v>15288.11</v>
      </c>
      <c r="W22" s="217">
        <v>29341.74</v>
      </c>
      <c r="X22" s="220">
        <v>42250.63</v>
      </c>
      <c r="Y22" s="32">
        <v>45237.61</v>
      </c>
      <c r="Z22" s="172">
        <v>36810.129999999997</v>
      </c>
      <c r="AA22" s="8">
        <f t="shared" si="4"/>
        <v>386382.13</v>
      </c>
      <c r="AC22" s="31"/>
      <c r="AE22" s="321">
        <f t="shared" si="5"/>
        <v>0</v>
      </c>
      <c r="AF22" s="321">
        <f t="shared" si="5"/>
        <v>0</v>
      </c>
      <c r="AG22" s="321">
        <f t="shared" si="5"/>
        <v>0</v>
      </c>
      <c r="AH22" s="321">
        <f t="shared" si="5"/>
        <v>0</v>
      </c>
      <c r="AI22" s="321">
        <f t="shared" si="5"/>
        <v>0</v>
      </c>
      <c r="AJ22" s="321">
        <f t="shared" si="5"/>
        <v>29341.74</v>
      </c>
      <c r="AK22" s="321">
        <f t="shared" si="5"/>
        <v>0</v>
      </c>
      <c r="AL22" s="321">
        <f t="shared" si="5"/>
        <v>0</v>
      </c>
      <c r="AM22" s="321">
        <f t="shared" si="5"/>
        <v>0</v>
      </c>
      <c r="AN22" s="321">
        <f t="shared" si="5"/>
        <v>0</v>
      </c>
      <c r="AO22" s="321">
        <f t="shared" si="5"/>
        <v>0</v>
      </c>
      <c r="AP22" s="321">
        <f t="shared" si="5"/>
        <v>0</v>
      </c>
      <c r="AQ22" s="321">
        <f t="shared" si="5"/>
        <v>0</v>
      </c>
      <c r="AR22" s="70">
        <f t="shared" si="6"/>
        <v>29341.74</v>
      </c>
    </row>
    <row r="23" spans="1:44" ht="10.5">
      <c r="A23" s="1" t="s">
        <v>533</v>
      </c>
      <c r="B23" s="42">
        <v>15051882</v>
      </c>
      <c r="C23" s="11" t="s">
        <v>643</v>
      </c>
      <c r="D23" s="11" t="s">
        <v>642</v>
      </c>
      <c r="E23" s="338">
        <v>26908</v>
      </c>
      <c r="F23" s="340">
        <v>132</v>
      </c>
      <c r="G23" s="1" t="s">
        <v>757</v>
      </c>
      <c r="H23" s="7">
        <v>151</v>
      </c>
      <c r="I23" s="7">
        <v>5</v>
      </c>
      <c r="J23" s="1" t="s">
        <v>754</v>
      </c>
      <c r="K23" s="1" t="s">
        <v>756</v>
      </c>
      <c r="L23" s="1" t="s">
        <v>745</v>
      </c>
      <c r="M23" s="333" t="s">
        <v>744</v>
      </c>
      <c r="N23" s="332">
        <v>40509</v>
      </c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8">
        <f t="shared" si="4"/>
        <v>0</v>
      </c>
      <c r="AC23" s="31"/>
      <c r="AE23" s="321">
        <f t="shared" si="5"/>
        <v>0</v>
      </c>
      <c r="AF23" s="321">
        <f t="shared" si="5"/>
        <v>0</v>
      </c>
      <c r="AG23" s="321">
        <f t="shared" si="5"/>
        <v>0</v>
      </c>
      <c r="AH23" s="321">
        <f t="shared" si="5"/>
        <v>0</v>
      </c>
      <c r="AI23" s="321">
        <f t="shared" si="5"/>
        <v>0</v>
      </c>
      <c r="AJ23" s="321">
        <f t="shared" si="5"/>
        <v>0</v>
      </c>
      <c r="AK23" s="321">
        <f t="shared" si="5"/>
        <v>0</v>
      </c>
      <c r="AL23" s="321">
        <f t="shared" si="5"/>
        <v>0</v>
      </c>
      <c r="AM23" s="321">
        <f t="shared" si="5"/>
        <v>0</v>
      </c>
      <c r="AN23" s="321">
        <f t="shared" si="5"/>
        <v>0</v>
      </c>
      <c r="AO23" s="321">
        <f t="shared" si="5"/>
        <v>0</v>
      </c>
      <c r="AP23" s="321">
        <f t="shared" si="5"/>
        <v>0</v>
      </c>
      <c r="AQ23" s="321">
        <f t="shared" si="5"/>
        <v>0</v>
      </c>
      <c r="AR23" s="70">
        <f t="shared" si="6"/>
        <v>0</v>
      </c>
    </row>
    <row r="24" spans="1:44" ht="10.5">
      <c r="A24" s="1" t="s">
        <v>533</v>
      </c>
      <c r="B24" s="4">
        <v>15058371</v>
      </c>
      <c r="C24" s="1" t="s">
        <v>830</v>
      </c>
      <c r="D24" s="1" t="s">
        <v>231</v>
      </c>
      <c r="E24" s="338">
        <v>35400</v>
      </c>
      <c r="F24" s="7">
        <v>92</v>
      </c>
      <c r="G24" s="1" t="s">
        <v>825</v>
      </c>
      <c r="H24" s="7">
        <v>59</v>
      </c>
      <c r="I24" s="7">
        <v>1</v>
      </c>
      <c r="J24" s="1" t="s">
        <v>754</v>
      </c>
      <c r="K24" s="1" t="s">
        <v>824</v>
      </c>
      <c r="L24" s="1" t="s">
        <v>745</v>
      </c>
      <c r="M24" s="333" t="s">
        <v>744</v>
      </c>
      <c r="N24" s="332">
        <v>40509</v>
      </c>
      <c r="O24" s="181">
        <v>7959.89</v>
      </c>
      <c r="P24" s="184">
        <v>5995.95</v>
      </c>
      <c r="Q24" s="229">
        <v>7989.4</v>
      </c>
      <c r="R24" s="192">
        <v>8846.24</v>
      </c>
      <c r="S24" s="195">
        <v>4200.24</v>
      </c>
      <c r="T24" s="238">
        <v>3515.16</v>
      </c>
      <c r="U24" s="347">
        <v>4189.49</v>
      </c>
      <c r="V24" s="212">
        <v>4315.66</v>
      </c>
      <c r="W24" s="217">
        <v>6600.8</v>
      </c>
      <c r="X24" s="220">
        <v>7207.98</v>
      </c>
      <c r="Y24" s="304">
        <v>6253.01</v>
      </c>
      <c r="Z24" s="172">
        <v>5347.4</v>
      </c>
      <c r="AA24" s="8">
        <f t="shared" si="4"/>
        <v>72421.219999999972</v>
      </c>
      <c r="AC24" s="31"/>
      <c r="AE24" s="321">
        <f t="shared" si="5"/>
        <v>0</v>
      </c>
      <c r="AF24" s="321">
        <f t="shared" si="5"/>
        <v>0</v>
      </c>
      <c r="AG24" s="321">
        <f t="shared" si="5"/>
        <v>0</v>
      </c>
      <c r="AH24" s="321">
        <f t="shared" si="5"/>
        <v>0</v>
      </c>
      <c r="AI24" s="321">
        <f t="shared" si="5"/>
        <v>0</v>
      </c>
      <c r="AJ24" s="321">
        <f t="shared" si="5"/>
        <v>0</v>
      </c>
      <c r="AK24" s="321">
        <f t="shared" si="5"/>
        <v>0</v>
      </c>
      <c r="AL24" s="321">
        <f t="shared" si="5"/>
        <v>6600.8</v>
      </c>
      <c r="AM24" s="321">
        <f t="shared" si="5"/>
        <v>0</v>
      </c>
      <c r="AN24" s="321">
        <f t="shared" si="5"/>
        <v>0</v>
      </c>
      <c r="AO24" s="321">
        <f t="shared" si="5"/>
        <v>0</v>
      </c>
      <c r="AP24" s="321">
        <f t="shared" si="5"/>
        <v>0</v>
      </c>
      <c r="AQ24" s="321">
        <f t="shared" si="5"/>
        <v>0</v>
      </c>
      <c r="AR24" s="70">
        <f t="shared" si="6"/>
        <v>6600.8</v>
      </c>
    </row>
    <row r="25" spans="1:44" ht="10.5">
      <c r="A25" s="1" t="s">
        <v>659</v>
      </c>
      <c r="B25" s="4">
        <v>15031812</v>
      </c>
      <c r="C25" s="1" t="s">
        <v>707</v>
      </c>
      <c r="D25" s="1" t="s">
        <v>688</v>
      </c>
      <c r="E25" s="7">
        <v>1987</v>
      </c>
      <c r="F25" s="7">
        <v>88</v>
      </c>
      <c r="G25" s="1" t="s">
        <v>688</v>
      </c>
      <c r="H25" s="7">
        <v>105</v>
      </c>
      <c r="I25" s="7">
        <v>2</v>
      </c>
      <c r="J25" s="1" t="s">
        <v>754</v>
      </c>
      <c r="K25" s="1" t="s">
        <v>402</v>
      </c>
      <c r="L25" s="1" t="s">
        <v>745</v>
      </c>
      <c r="M25" s="333" t="s">
        <v>744</v>
      </c>
      <c r="N25" s="332">
        <v>40505</v>
      </c>
      <c r="O25" s="181">
        <v>19274.54</v>
      </c>
      <c r="P25" s="184">
        <v>14542.35</v>
      </c>
      <c r="Q25" s="229">
        <v>16606.96</v>
      </c>
      <c r="R25" s="192">
        <v>19101.03</v>
      </c>
      <c r="S25" s="195">
        <v>125144.45</v>
      </c>
      <c r="T25" s="238">
        <v>9169.7000000000007</v>
      </c>
      <c r="U25" s="347">
        <v>8434.64</v>
      </c>
      <c r="V25" s="212">
        <v>10767.3</v>
      </c>
      <c r="W25" s="217">
        <v>15528.15</v>
      </c>
      <c r="X25" s="220">
        <v>17527.990000000002</v>
      </c>
      <c r="Y25" s="304">
        <v>16941.5</v>
      </c>
      <c r="Z25" s="172">
        <v>16271.66</v>
      </c>
      <c r="AA25" s="8">
        <f t="shared" si="4"/>
        <v>289310.26999999996</v>
      </c>
      <c r="AC25" s="31"/>
      <c r="AE25" s="321">
        <f t="shared" si="5"/>
        <v>0</v>
      </c>
      <c r="AF25" s="321">
        <f t="shared" si="5"/>
        <v>0</v>
      </c>
      <c r="AG25" s="321">
        <f t="shared" si="5"/>
        <v>0</v>
      </c>
      <c r="AH25" s="321">
        <f t="shared" si="5"/>
        <v>0</v>
      </c>
      <c r="AI25" s="321">
        <f t="shared" si="5"/>
        <v>0</v>
      </c>
      <c r="AJ25" s="321">
        <f t="shared" si="5"/>
        <v>0</v>
      </c>
      <c r="AK25" s="321">
        <f t="shared" si="5"/>
        <v>0</v>
      </c>
      <c r="AL25" s="321">
        <f t="shared" si="5"/>
        <v>0</v>
      </c>
      <c r="AM25" s="321">
        <f t="shared" si="5"/>
        <v>15528.15</v>
      </c>
      <c r="AN25" s="321">
        <f t="shared" si="5"/>
        <v>0</v>
      </c>
      <c r="AO25" s="321">
        <f t="shared" si="5"/>
        <v>0</v>
      </c>
      <c r="AP25" s="321">
        <f t="shared" si="5"/>
        <v>0</v>
      </c>
      <c r="AQ25" s="321">
        <f t="shared" si="5"/>
        <v>0</v>
      </c>
      <c r="AR25" s="70">
        <f t="shared" si="6"/>
        <v>15528.15</v>
      </c>
    </row>
    <row r="26" spans="1:44" ht="10.5">
      <c r="A26" s="1" t="s">
        <v>537</v>
      </c>
      <c r="B26" s="4">
        <v>15061966</v>
      </c>
      <c r="D26" s="1" t="s">
        <v>889</v>
      </c>
      <c r="O26" s="229">
        <v>14326.46</v>
      </c>
      <c r="P26" s="229">
        <v>13868.19</v>
      </c>
      <c r="Q26" s="229">
        <v>13303.02</v>
      </c>
      <c r="R26" s="192">
        <v>16644.43</v>
      </c>
      <c r="S26" s="32"/>
      <c r="T26" s="238">
        <v>7313.18</v>
      </c>
      <c r="U26" s="347">
        <v>7545.1</v>
      </c>
      <c r="V26" s="212">
        <v>8113.42</v>
      </c>
      <c r="W26" s="217">
        <v>10917.47</v>
      </c>
      <c r="X26" s="220">
        <v>15356.11</v>
      </c>
      <c r="Y26" s="304">
        <v>13576.07</v>
      </c>
      <c r="Z26" s="172">
        <v>13311.21</v>
      </c>
      <c r="AA26" s="8">
        <f t="shared" si="4"/>
        <v>134274.66</v>
      </c>
      <c r="AC26" s="31"/>
      <c r="AE26" s="321">
        <f t="shared" si="5"/>
        <v>0</v>
      </c>
      <c r="AF26" s="321">
        <f t="shared" si="5"/>
        <v>10917.47</v>
      </c>
      <c r="AG26" s="321">
        <f t="shared" si="5"/>
        <v>0</v>
      </c>
      <c r="AH26" s="321">
        <f t="shared" si="5"/>
        <v>0</v>
      </c>
      <c r="AI26" s="321">
        <f t="shared" si="5"/>
        <v>0</v>
      </c>
      <c r="AJ26" s="321">
        <f t="shared" si="5"/>
        <v>0</v>
      </c>
      <c r="AK26" s="321">
        <f t="shared" si="5"/>
        <v>0</v>
      </c>
      <c r="AL26" s="321">
        <f t="shared" si="5"/>
        <v>0</v>
      </c>
      <c r="AM26" s="321">
        <f t="shared" si="5"/>
        <v>0</v>
      </c>
      <c r="AN26" s="321">
        <f t="shared" si="5"/>
        <v>0</v>
      </c>
      <c r="AO26" s="321">
        <f t="shared" si="5"/>
        <v>0</v>
      </c>
      <c r="AP26" s="321">
        <f t="shared" si="5"/>
        <v>0</v>
      </c>
      <c r="AQ26" s="321">
        <f t="shared" si="5"/>
        <v>0</v>
      </c>
      <c r="AR26" s="70">
        <f t="shared" si="6"/>
        <v>10917.47</v>
      </c>
    </row>
    <row r="27" spans="1:44" ht="10.5">
      <c r="A27" s="1" t="s">
        <v>659</v>
      </c>
      <c r="B27" s="4">
        <v>7007500</v>
      </c>
      <c r="C27" s="1" t="s">
        <v>234</v>
      </c>
      <c r="D27" s="1" t="s">
        <v>234</v>
      </c>
      <c r="E27" s="338">
        <v>35977</v>
      </c>
      <c r="F27" s="7">
        <v>95</v>
      </c>
      <c r="G27" s="1" t="s">
        <v>234</v>
      </c>
      <c r="H27" s="7">
        <v>53</v>
      </c>
      <c r="I27" s="7">
        <v>0</v>
      </c>
      <c r="J27" s="1" t="s">
        <v>758</v>
      </c>
      <c r="K27" s="1" t="s">
        <v>409</v>
      </c>
      <c r="L27" s="1" t="s">
        <v>745</v>
      </c>
      <c r="M27" s="333" t="s">
        <v>744</v>
      </c>
      <c r="N27" s="332">
        <v>40505</v>
      </c>
      <c r="O27" s="181">
        <v>12535.16</v>
      </c>
      <c r="P27" s="184">
        <v>11356.2</v>
      </c>
      <c r="Q27" s="229">
        <v>11879.87</v>
      </c>
      <c r="R27" s="192">
        <v>14897.22</v>
      </c>
      <c r="S27" s="32"/>
      <c r="T27" s="238">
        <v>6398.47</v>
      </c>
      <c r="U27" s="347">
        <v>6108.47</v>
      </c>
      <c r="V27" s="212">
        <v>7767.79</v>
      </c>
      <c r="W27" s="217">
        <v>10967.09</v>
      </c>
      <c r="X27" s="220">
        <v>13341.97</v>
      </c>
      <c r="Y27" s="304">
        <v>12463.13</v>
      </c>
      <c r="Z27" s="172">
        <v>13330.36</v>
      </c>
      <c r="AA27" s="8">
        <f t="shared" si="4"/>
        <v>121045.73000000001</v>
      </c>
      <c r="AC27" s="31"/>
      <c r="AE27" s="321">
        <f t="shared" si="5"/>
        <v>0</v>
      </c>
      <c r="AF27" s="321">
        <f t="shared" si="5"/>
        <v>0</v>
      </c>
      <c r="AG27" s="321">
        <f t="shared" si="5"/>
        <v>0</v>
      </c>
      <c r="AH27" s="321">
        <f t="shared" si="5"/>
        <v>0</v>
      </c>
      <c r="AI27" s="321">
        <f t="shared" si="5"/>
        <v>0</v>
      </c>
      <c r="AJ27" s="321">
        <f t="shared" si="5"/>
        <v>0</v>
      </c>
      <c r="AK27" s="321">
        <f t="shared" si="5"/>
        <v>0</v>
      </c>
      <c r="AL27" s="321">
        <f t="shared" si="5"/>
        <v>0</v>
      </c>
      <c r="AM27" s="321">
        <f t="shared" si="5"/>
        <v>10967.09</v>
      </c>
      <c r="AN27" s="321">
        <f t="shared" si="5"/>
        <v>0</v>
      </c>
      <c r="AO27" s="321">
        <f t="shared" si="5"/>
        <v>0</v>
      </c>
      <c r="AP27" s="321">
        <f t="shared" si="5"/>
        <v>0</v>
      </c>
      <c r="AQ27" s="321">
        <f t="shared" si="5"/>
        <v>0</v>
      </c>
      <c r="AR27" s="70">
        <f t="shared" si="6"/>
        <v>10967.09</v>
      </c>
    </row>
    <row r="28" spans="1:44" ht="10.5">
      <c r="A28" s="1" t="s">
        <v>535</v>
      </c>
      <c r="B28" s="4">
        <v>7005300</v>
      </c>
      <c r="C28" s="1" t="s">
        <v>235</v>
      </c>
      <c r="D28" s="1" t="s">
        <v>235</v>
      </c>
      <c r="E28" s="338">
        <v>32325</v>
      </c>
      <c r="F28" s="7">
        <v>96</v>
      </c>
      <c r="G28" s="1" t="s">
        <v>823</v>
      </c>
      <c r="H28" s="7">
        <v>146</v>
      </c>
      <c r="I28" s="7">
        <v>2</v>
      </c>
      <c r="J28" s="1" t="s">
        <v>765</v>
      </c>
      <c r="K28" s="1" t="s">
        <v>822</v>
      </c>
      <c r="L28" s="1" t="s">
        <v>745</v>
      </c>
      <c r="M28" s="333" t="s">
        <v>744</v>
      </c>
      <c r="N28" s="332">
        <v>40511</v>
      </c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8">
        <f t="shared" si="4"/>
        <v>0</v>
      </c>
      <c r="AC28" s="31"/>
      <c r="AE28" s="321">
        <f t="shared" si="5"/>
        <v>0</v>
      </c>
      <c r="AF28" s="321">
        <f t="shared" si="5"/>
        <v>0</v>
      </c>
      <c r="AG28" s="321">
        <f t="shared" si="5"/>
        <v>0</v>
      </c>
      <c r="AH28" s="321">
        <f t="shared" si="5"/>
        <v>0</v>
      </c>
      <c r="AI28" s="321">
        <f t="shared" si="5"/>
        <v>0</v>
      </c>
      <c r="AJ28" s="321">
        <f t="shared" si="5"/>
        <v>0</v>
      </c>
      <c r="AK28" s="321">
        <f t="shared" si="5"/>
        <v>0</v>
      </c>
      <c r="AL28" s="321">
        <f t="shared" si="5"/>
        <v>0</v>
      </c>
      <c r="AM28" s="321">
        <f t="shared" si="5"/>
        <v>0</v>
      </c>
      <c r="AN28" s="321">
        <f t="shared" si="5"/>
        <v>0</v>
      </c>
      <c r="AO28" s="321">
        <f t="shared" si="5"/>
        <v>0</v>
      </c>
      <c r="AP28" s="321">
        <f t="shared" si="5"/>
        <v>0</v>
      </c>
      <c r="AQ28" s="321">
        <f t="shared" si="5"/>
        <v>0</v>
      </c>
      <c r="AR28" s="70">
        <f t="shared" si="6"/>
        <v>0</v>
      </c>
    </row>
    <row r="29" spans="1:44" ht="10.5">
      <c r="A29" s="1" t="s">
        <v>530</v>
      </c>
      <c r="B29" s="4">
        <v>15051244</v>
      </c>
      <c r="C29" s="1" t="s">
        <v>503</v>
      </c>
      <c r="D29" s="1" t="s">
        <v>651</v>
      </c>
      <c r="E29" s="338">
        <v>36220</v>
      </c>
      <c r="F29" s="7">
        <v>97</v>
      </c>
      <c r="G29" s="1" t="s">
        <v>821</v>
      </c>
      <c r="H29" s="7">
        <v>90</v>
      </c>
      <c r="I29" s="7">
        <v>1</v>
      </c>
      <c r="J29" s="1" t="s">
        <v>765</v>
      </c>
      <c r="K29" s="1" t="s">
        <v>397</v>
      </c>
      <c r="L29" s="1" t="s">
        <v>745</v>
      </c>
      <c r="M29" s="333" t="s">
        <v>744</v>
      </c>
      <c r="N29" s="332">
        <v>40509</v>
      </c>
      <c r="O29" s="181">
        <v>23250.560000000001</v>
      </c>
      <c r="P29" s="184">
        <v>19746.52</v>
      </c>
      <c r="Q29" s="229">
        <v>20038.919999999998</v>
      </c>
      <c r="R29" s="192">
        <v>26709.72</v>
      </c>
      <c r="S29" s="195">
        <v>17030.09</v>
      </c>
      <c r="T29" s="238">
        <v>12900.71</v>
      </c>
      <c r="U29" s="347">
        <v>12910.06</v>
      </c>
      <c r="V29" s="212">
        <v>17158.95</v>
      </c>
      <c r="W29" s="217">
        <v>21386.51</v>
      </c>
      <c r="X29" s="220">
        <v>27238.25</v>
      </c>
      <c r="Y29" s="304">
        <v>23973.74</v>
      </c>
      <c r="Z29" s="172">
        <v>21670.75</v>
      </c>
      <c r="AA29" s="8">
        <f t="shared" si="4"/>
        <v>244014.78</v>
      </c>
      <c r="AC29" s="31"/>
      <c r="AE29" s="321">
        <f t="shared" si="5"/>
        <v>0</v>
      </c>
      <c r="AF29" s="321">
        <f t="shared" si="5"/>
        <v>0</v>
      </c>
      <c r="AG29" s="321">
        <f t="shared" si="5"/>
        <v>0</v>
      </c>
      <c r="AH29" s="321">
        <f t="shared" si="5"/>
        <v>0</v>
      </c>
      <c r="AI29" s="321">
        <f t="shared" si="5"/>
        <v>21386.51</v>
      </c>
      <c r="AJ29" s="321">
        <f t="shared" si="5"/>
        <v>0</v>
      </c>
      <c r="AK29" s="321">
        <f t="shared" si="5"/>
        <v>0</v>
      </c>
      <c r="AL29" s="321">
        <f t="shared" si="5"/>
        <v>0</v>
      </c>
      <c r="AM29" s="321">
        <f t="shared" si="5"/>
        <v>0</v>
      </c>
      <c r="AN29" s="321">
        <f t="shared" si="5"/>
        <v>0</v>
      </c>
      <c r="AO29" s="321">
        <f t="shared" si="5"/>
        <v>0</v>
      </c>
      <c r="AP29" s="321">
        <f t="shared" si="5"/>
        <v>0</v>
      </c>
      <c r="AQ29" s="321">
        <f t="shared" si="5"/>
        <v>0</v>
      </c>
      <c r="AR29" s="70">
        <f t="shared" si="6"/>
        <v>21386.51</v>
      </c>
    </row>
    <row r="30" spans="1:44" ht="10.5">
      <c r="A30" s="1" t="s">
        <v>535</v>
      </c>
      <c r="B30" s="4">
        <v>15059166</v>
      </c>
      <c r="C30" s="1" t="s">
        <v>851</v>
      </c>
      <c r="D30" s="1" t="s">
        <v>852</v>
      </c>
      <c r="E30" s="7"/>
      <c r="H30" s="7"/>
      <c r="I30" s="7"/>
      <c r="M30" s="333"/>
      <c r="N30" s="332"/>
      <c r="O30" s="181">
        <v>34969.99</v>
      </c>
      <c r="P30" s="184">
        <v>29194.84</v>
      </c>
      <c r="Q30" s="229">
        <v>32532.26</v>
      </c>
      <c r="R30" s="192">
        <v>41948.18</v>
      </c>
      <c r="S30" s="195">
        <v>28911.66</v>
      </c>
      <c r="T30" s="238">
        <v>16588.73</v>
      </c>
      <c r="U30" s="347">
        <v>18487.05</v>
      </c>
      <c r="V30" s="212">
        <v>22303.360000000001</v>
      </c>
      <c r="W30" s="217">
        <v>31869.7</v>
      </c>
      <c r="X30" s="220">
        <v>36722.15</v>
      </c>
      <c r="Y30" s="304">
        <v>34414.129999999997</v>
      </c>
      <c r="Z30" s="172">
        <v>28888.799999999999</v>
      </c>
      <c r="AA30" s="8">
        <f t="shared" si="4"/>
        <v>356830.85000000003</v>
      </c>
      <c r="AC30" s="31"/>
      <c r="AE30" s="321">
        <f t="shared" si="5"/>
        <v>0</v>
      </c>
      <c r="AF30" s="321">
        <f t="shared" si="5"/>
        <v>0</v>
      </c>
      <c r="AG30" s="321">
        <f t="shared" si="5"/>
        <v>0</v>
      </c>
      <c r="AH30" s="321">
        <f t="shared" si="5"/>
        <v>0</v>
      </c>
      <c r="AI30" s="321">
        <f t="shared" si="5"/>
        <v>0</v>
      </c>
      <c r="AJ30" s="321">
        <f t="shared" si="5"/>
        <v>31869.7</v>
      </c>
      <c r="AK30" s="321">
        <f t="shared" si="5"/>
        <v>0</v>
      </c>
      <c r="AL30" s="321">
        <f t="shared" si="5"/>
        <v>0</v>
      </c>
      <c r="AM30" s="321">
        <f t="shared" si="5"/>
        <v>0</v>
      </c>
      <c r="AN30" s="321">
        <f t="shared" si="5"/>
        <v>0</v>
      </c>
      <c r="AO30" s="321">
        <f t="shared" si="5"/>
        <v>0</v>
      </c>
      <c r="AP30" s="321">
        <f t="shared" si="5"/>
        <v>0</v>
      </c>
      <c r="AQ30" s="321">
        <f t="shared" si="5"/>
        <v>0</v>
      </c>
      <c r="AR30" s="70">
        <f t="shared" si="6"/>
        <v>31869.7</v>
      </c>
    </row>
    <row r="31" spans="1:44" ht="10.5">
      <c r="A31" s="1" t="s">
        <v>537</v>
      </c>
      <c r="B31" s="4">
        <v>15036832</v>
      </c>
      <c r="C31" s="1" t="s">
        <v>504</v>
      </c>
      <c r="D31" s="1" t="s">
        <v>504</v>
      </c>
      <c r="E31" s="338">
        <v>41030</v>
      </c>
      <c r="F31" s="7">
        <v>4208</v>
      </c>
      <c r="G31" s="1" t="s">
        <v>820</v>
      </c>
      <c r="H31" s="7">
        <v>103</v>
      </c>
      <c r="I31" s="7">
        <v>1</v>
      </c>
      <c r="J31" s="1" t="s">
        <v>765</v>
      </c>
      <c r="K31" s="1" t="s">
        <v>819</v>
      </c>
      <c r="L31" s="1" t="s">
        <v>745</v>
      </c>
      <c r="M31" s="333" t="s">
        <v>744</v>
      </c>
      <c r="N31" s="332">
        <v>40513</v>
      </c>
      <c r="O31" s="181">
        <v>30430.76</v>
      </c>
      <c r="P31" s="184">
        <v>26197.24</v>
      </c>
      <c r="Q31" s="229">
        <v>28720.37</v>
      </c>
      <c r="R31" s="192">
        <v>34076.01</v>
      </c>
      <c r="S31" s="195">
        <v>24319.34</v>
      </c>
      <c r="T31" s="238">
        <v>14240.1</v>
      </c>
      <c r="U31" s="347">
        <v>20407.59</v>
      </c>
      <c r="V31" s="212">
        <v>21482.720000000001</v>
      </c>
      <c r="W31" s="217">
        <v>26368.2</v>
      </c>
      <c r="X31" s="220">
        <v>35420.050000000003</v>
      </c>
      <c r="Y31" s="304">
        <v>28598.54</v>
      </c>
      <c r="Z31" s="172">
        <v>24453.84</v>
      </c>
      <c r="AA31" s="8">
        <f t="shared" si="4"/>
        <v>314714.76</v>
      </c>
      <c r="AC31" s="31"/>
      <c r="AE31" s="321">
        <f t="shared" si="5"/>
        <v>0</v>
      </c>
      <c r="AF31" s="321">
        <f t="shared" si="5"/>
        <v>26368.2</v>
      </c>
      <c r="AG31" s="321">
        <f t="shared" si="5"/>
        <v>0</v>
      </c>
      <c r="AH31" s="321">
        <f t="shared" si="5"/>
        <v>0</v>
      </c>
      <c r="AI31" s="321">
        <f t="shared" si="5"/>
        <v>0</v>
      </c>
      <c r="AJ31" s="321">
        <f t="shared" si="5"/>
        <v>0</v>
      </c>
      <c r="AK31" s="321">
        <f t="shared" si="5"/>
        <v>0</v>
      </c>
      <c r="AL31" s="321">
        <f t="shared" si="5"/>
        <v>0</v>
      </c>
      <c r="AM31" s="321">
        <f t="shared" si="5"/>
        <v>0</v>
      </c>
      <c r="AN31" s="321">
        <f t="shared" si="5"/>
        <v>0</v>
      </c>
      <c r="AO31" s="321">
        <f t="shared" si="5"/>
        <v>0</v>
      </c>
      <c r="AP31" s="321">
        <f t="shared" si="5"/>
        <v>0</v>
      </c>
      <c r="AQ31" s="321">
        <f t="shared" si="5"/>
        <v>0</v>
      </c>
      <c r="AR31" s="70">
        <f t="shared" si="6"/>
        <v>26368.2</v>
      </c>
    </row>
    <row r="32" spans="1:44" ht="10.5">
      <c r="A32" s="1" t="s">
        <v>970</v>
      </c>
      <c r="B32" s="4">
        <v>15062248</v>
      </c>
      <c r="D32" s="1" t="s">
        <v>877</v>
      </c>
      <c r="O32" s="181">
        <v>38.42</v>
      </c>
      <c r="P32" s="184">
        <v>156.19</v>
      </c>
      <c r="Q32" s="229">
        <v>244.38</v>
      </c>
      <c r="R32" s="192">
        <v>163.88</v>
      </c>
      <c r="S32" s="195">
        <v>182.86</v>
      </c>
      <c r="T32" s="238">
        <v>96.77</v>
      </c>
      <c r="U32" s="32"/>
      <c r="V32" s="32"/>
      <c r="W32" s="32"/>
      <c r="X32" s="220">
        <v>167.89</v>
      </c>
      <c r="Y32" s="304">
        <v>213.76</v>
      </c>
      <c r="Z32" s="32"/>
      <c r="AA32" s="8">
        <f t="shared" si="4"/>
        <v>1264.1499999999999</v>
      </c>
      <c r="AC32" s="31"/>
      <c r="AE32" s="321">
        <f t="shared" si="5"/>
        <v>0</v>
      </c>
      <c r="AF32" s="321">
        <f t="shared" si="5"/>
        <v>0</v>
      </c>
      <c r="AG32" s="321">
        <f t="shared" si="5"/>
        <v>0</v>
      </c>
      <c r="AH32" s="321">
        <f t="shared" si="5"/>
        <v>0</v>
      </c>
      <c r="AI32" s="321">
        <f t="shared" si="5"/>
        <v>0</v>
      </c>
      <c r="AJ32" s="321">
        <f t="shared" si="5"/>
        <v>0</v>
      </c>
      <c r="AK32" s="321">
        <f t="shared" si="5"/>
        <v>0</v>
      </c>
      <c r="AL32" s="321">
        <f t="shared" si="5"/>
        <v>0</v>
      </c>
      <c r="AM32" s="321">
        <f t="shared" si="5"/>
        <v>0</v>
      </c>
      <c r="AN32" s="321">
        <f t="shared" si="5"/>
        <v>0</v>
      </c>
      <c r="AO32" s="321">
        <f t="shared" si="5"/>
        <v>0</v>
      </c>
      <c r="AP32" s="321">
        <f t="shared" si="5"/>
        <v>0</v>
      </c>
      <c r="AQ32" s="321">
        <f t="shared" si="5"/>
        <v>0</v>
      </c>
      <c r="AR32" s="70">
        <f t="shared" si="6"/>
        <v>0</v>
      </c>
    </row>
    <row r="33" spans="1:44" ht="10.5">
      <c r="A33" s="1" t="s">
        <v>660</v>
      </c>
      <c r="B33" s="4">
        <v>7002000</v>
      </c>
      <c r="C33" s="1" t="s">
        <v>629</v>
      </c>
      <c r="D33" s="1" t="s">
        <v>505</v>
      </c>
      <c r="H33" s="1">
        <v>176</v>
      </c>
      <c r="K33" s="1" t="s">
        <v>456</v>
      </c>
      <c r="L33" s="1" t="s">
        <v>745</v>
      </c>
      <c r="M33" s="333" t="s">
        <v>744</v>
      </c>
      <c r="N33" s="1">
        <v>40505</v>
      </c>
      <c r="O33" s="181">
        <v>14638.81</v>
      </c>
      <c r="P33" s="184">
        <v>11492.83</v>
      </c>
      <c r="Q33" s="229">
        <v>16579.330000000002</v>
      </c>
      <c r="R33" s="192">
        <v>15503.05</v>
      </c>
      <c r="S33" s="195">
        <v>8706.23</v>
      </c>
      <c r="T33" s="238">
        <v>8908.5400000000009</v>
      </c>
      <c r="U33" s="347">
        <v>5478.8</v>
      </c>
      <c r="V33" s="212">
        <v>7060.78</v>
      </c>
      <c r="W33" s="217">
        <v>12999.89</v>
      </c>
      <c r="X33" s="220">
        <v>13228.47</v>
      </c>
      <c r="Y33" s="304">
        <v>10409.65</v>
      </c>
      <c r="Z33" s="172">
        <v>12891.34</v>
      </c>
      <c r="AA33" s="8">
        <f t="shared" si="4"/>
        <v>137897.72</v>
      </c>
      <c r="AC33" s="31"/>
      <c r="AE33" s="321">
        <f t="shared" si="5"/>
        <v>0</v>
      </c>
      <c r="AF33" s="321">
        <f t="shared" si="5"/>
        <v>0</v>
      </c>
      <c r="AG33" s="321">
        <f t="shared" si="5"/>
        <v>0</v>
      </c>
      <c r="AH33" s="321">
        <f t="shared" si="5"/>
        <v>0</v>
      </c>
      <c r="AI33" s="321">
        <f t="shared" si="5"/>
        <v>0</v>
      </c>
      <c r="AJ33" s="321">
        <f t="shared" si="5"/>
        <v>0</v>
      </c>
      <c r="AK33" s="321">
        <f t="shared" si="5"/>
        <v>0</v>
      </c>
      <c r="AL33" s="321">
        <f t="shared" si="5"/>
        <v>0</v>
      </c>
      <c r="AM33" s="321">
        <f t="shared" si="5"/>
        <v>0</v>
      </c>
      <c r="AN33" s="321">
        <f t="shared" si="5"/>
        <v>12999.89</v>
      </c>
      <c r="AO33" s="321">
        <f t="shared" si="5"/>
        <v>0</v>
      </c>
      <c r="AP33" s="321">
        <f t="shared" si="5"/>
        <v>0</v>
      </c>
      <c r="AQ33" s="321">
        <f t="shared" si="5"/>
        <v>0</v>
      </c>
      <c r="AR33" s="70">
        <f t="shared" si="6"/>
        <v>12999.89</v>
      </c>
    </row>
    <row r="34" spans="1:44" ht="10.5">
      <c r="A34" s="1" t="s">
        <v>533</v>
      </c>
      <c r="B34" s="4">
        <v>15007853</v>
      </c>
      <c r="C34" s="1" t="s">
        <v>632</v>
      </c>
      <c r="D34" s="1" t="s">
        <v>238</v>
      </c>
      <c r="E34" s="338">
        <v>32568</v>
      </c>
      <c r="F34" s="7">
        <v>98</v>
      </c>
      <c r="G34" s="1" t="s">
        <v>238</v>
      </c>
      <c r="H34" s="7">
        <v>55</v>
      </c>
      <c r="I34" s="7">
        <v>0</v>
      </c>
      <c r="J34" s="1" t="s">
        <v>776</v>
      </c>
      <c r="K34" s="1" t="s">
        <v>817</v>
      </c>
      <c r="L34" s="1" t="s">
        <v>745</v>
      </c>
      <c r="M34" s="333" t="s">
        <v>744</v>
      </c>
      <c r="N34" s="332">
        <v>40509</v>
      </c>
      <c r="O34" s="184">
        <v>5418.6</v>
      </c>
      <c r="P34" s="184">
        <v>4720.6499999999996</v>
      </c>
      <c r="Q34" s="229">
        <v>4723.13</v>
      </c>
      <c r="R34" s="192">
        <v>5906.47</v>
      </c>
      <c r="S34" s="195">
        <v>4010.11</v>
      </c>
      <c r="T34" s="238">
        <v>3327.83</v>
      </c>
      <c r="U34" s="347">
        <v>2481.81</v>
      </c>
      <c r="V34" s="217">
        <v>4932.5200000000004</v>
      </c>
      <c r="W34" s="217">
        <v>2618.2399999999998</v>
      </c>
      <c r="X34" s="220">
        <v>5426.5</v>
      </c>
      <c r="Y34" s="32">
        <v>5077.95</v>
      </c>
      <c r="Z34" s="172">
        <v>4478.95</v>
      </c>
      <c r="AA34" s="8">
        <f t="shared" si="4"/>
        <v>53122.759999999995</v>
      </c>
      <c r="AC34" s="31"/>
      <c r="AE34" s="321">
        <f t="shared" si="5"/>
        <v>0</v>
      </c>
      <c r="AF34" s="321">
        <f t="shared" si="5"/>
        <v>0</v>
      </c>
      <c r="AG34" s="321">
        <f t="shared" si="5"/>
        <v>0</v>
      </c>
      <c r="AH34" s="321">
        <f t="shared" si="5"/>
        <v>0</v>
      </c>
      <c r="AI34" s="321">
        <f t="shared" si="5"/>
        <v>0</v>
      </c>
      <c r="AJ34" s="321">
        <f t="shared" si="5"/>
        <v>0</v>
      </c>
      <c r="AK34" s="321">
        <f t="shared" si="5"/>
        <v>0</v>
      </c>
      <c r="AL34" s="321">
        <f t="shared" si="5"/>
        <v>2618.2399999999998</v>
      </c>
      <c r="AM34" s="321">
        <f t="shared" si="5"/>
        <v>0</v>
      </c>
      <c r="AN34" s="321">
        <f t="shared" si="5"/>
        <v>0</v>
      </c>
      <c r="AO34" s="321">
        <f t="shared" si="5"/>
        <v>0</v>
      </c>
      <c r="AP34" s="321">
        <f t="shared" si="5"/>
        <v>0</v>
      </c>
      <c r="AQ34" s="321">
        <f t="shared" si="5"/>
        <v>0</v>
      </c>
      <c r="AR34" s="70">
        <f t="shared" si="6"/>
        <v>2618.2399999999998</v>
      </c>
    </row>
    <row r="35" spans="1:44" ht="10.5">
      <c r="A35" s="1" t="s">
        <v>704</v>
      </c>
      <c r="B35" s="4">
        <v>7000700</v>
      </c>
      <c r="C35" s="1" t="s">
        <v>239</v>
      </c>
      <c r="D35" s="1" t="s">
        <v>239</v>
      </c>
      <c r="E35" s="7"/>
      <c r="F35" s="7">
        <v>99</v>
      </c>
      <c r="G35" s="1" t="s">
        <v>818</v>
      </c>
      <c r="H35" s="7">
        <v>44</v>
      </c>
      <c r="I35" s="7">
        <v>0</v>
      </c>
      <c r="K35" s="1" t="s">
        <v>412</v>
      </c>
      <c r="L35" s="1" t="s">
        <v>745</v>
      </c>
      <c r="M35" s="333" t="s">
        <v>744</v>
      </c>
      <c r="N35" s="332">
        <v>40504</v>
      </c>
      <c r="O35" s="181">
        <v>892.5</v>
      </c>
      <c r="P35" s="184">
        <v>871.25</v>
      </c>
      <c r="Q35" s="229">
        <v>807</v>
      </c>
      <c r="R35" s="192">
        <v>868.7</v>
      </c>
      <c r="S35" s="195">
        <v>782</v>
      </c>
      <c r="T35" s="238">
        <v>782.68</v>
      </c>
      <c r="U35" s="347">
        <v>735.25</v>
      </c>
      <c r="V35" s="212">
        <v>736.94</v>
      </c>
      <c r="W35" s="217">
        <v>821.95</v>
      </c>
      <c r="X35" s="220">
        <v>892.5</v>
      </c>
      <c r="Y35" s="304">
        <v>953.7</v>
      </c>
      <c r="Z35" s="172">
        <v>820.25</v>
      </c>
      <c r="AA35" s="8">
        <f t="shared" si="4"/>
        <v>9964.7199999999993</v>
      </c>
      <c r="AC35" s="31"/>
      <c r="AE35" s="321">
        <f t="shared" si="5"/>
        <v>0</v>
      </c>
      <c r="AF35" s="321">
        <f t="shared" si="5"/>
        <v>0</v>
      </c>
      <c r="AG35" s="321">
        <f t="shared" si="5"/>
        <v>0</v>
      </c>
      <c r="AH35" s="321">
        <f t="shared" si="5"/>
        <v>0</v>
      </c>
      <c r="AI35" s="321">
        <f t="shared" si="5"/>
        <v>0</v>
      </c>
      <c r="AJ35" s="321">
        <f t="shared" si="5"/>
        <v>0</v>
      </c>
      <c r="AK35" s="321">
        <f t="shared" si="5"/>
        <v>0</v>
      </c>
      <c r="AL35" s="321">
        <f t="shared" si="5"/>
        <v>0</v>
      </c>
      <c r="AM35" s="321">
        <f t="shared" si="5"/>
        <v>0</v>
      </c>
      <c r="AN35" s="321">
        <f t="shared" si="5"/>
        <v>0</v>
      </c>
      <c r="AO35" s="321">
        <f t="shared" si="5"/>
        <v>821.95</v>
      </c>
      <c r="AP35" s="321">
        <f t="shared" si="5"/>
        <v>0</v>
      </c>
      <c r="AQ35" s="321">
        <f t="shared" si="5"/>
        <v>0</v>
      </c>
      <c r="AR35" s="70">
        <f t="shared" si="6"/>
        <v>821.95</v>
      </c>
    </row>
    <row r="36" spans="1:44" ht="10.5">
      <c r="A36" s="1" t="s">
        <v>533</v>
      </c>
      <c r="B36" s="4">
        <v>15005502</v>
      </c>
      <c r="C36" s="1" t="s">
        <v>597</v>
      </c>
      <c r="D36" s="1" t="s">
        <v>506</v>
      </c>
      <c r="E36" s="338">
        <v>32721</v>
      </c>
      <c r="F36" s="7">
        <v>137</v>
      </c>
      <c r="G36" s="1" t="s">
        <v>760</v>
      </c>
      <c r="H36" s="7">
        <v>155</v>
      </c>
      <c r="I36" s="7">
        <v>7</v>
      </c>
      <c r="J36" s="1" t="s">
        <v>751</v>
      </c>
      <c r="K36" s="1" t="s">
        <v>413</v>
      </c>
      <c r="L36" s="1" t="s">
        <v>745</v>
      </c>
      <c r="M36" s="333" t="s">
        <v>744</v>
      </c>
      <c r="N36" s="332">
        <v>40509</v>
      </c>
      <c r="O36" s="181">
        <v>38081.94</v>
      </c>
      <c r="P36" s="229">
        <v>33350.769999999997</v>
      </c>
      <c r="Q36" s="229">
        <v>36184.33</v>
      </c>
      <c r="R36" s="192">
        <v>45410.49</v>
      </c>
      <c r="S36" s="195">
        <v>33267.980000000003</v>
      </c>
      <c r="T36" s="238">
        <v>26265.17</v>
      </c>
      <c r="U36" s="347">
        <v>22812.05</v>
      </c>
      <c r="V36" s="212">
        <v>27333.03</v>
      </c>
      <c r="W36" s="217">
        <v>33183.15</v>
      </c>
      <c r="X36" s="220">
        <v>42555.02</v>
      </c>
      <c r="Y36" s="304">
        <v>45913.69</v>
      </c>
      <c r="Z36" s="172">
        <v>38744.699999999997</v>
      </c>
      <c r="AA36" s="8">
        <f t="shared" si="4"/>
        <v>423102.32000000007</v>
      </c>
      <c r="AC36" s="31"/>
      <c r="AE36" s="321">
        <f t="shared" ref="AE36:AQ55" si="7">+IF($A36=AE$2,$W36,0)</f>
        <v>0</v>
      </c>
      <c r="AF36" s="321">
        <f t="shared" si="7"/>
        <v>0</v>
      </c>
      <c r="AG36" s="321">
        <f t="shared" si="7"/>
        <v>0</v>
      </c>
      <c r="AH36" s="321">
        <f t="shared" si="7"/>
        <v>0</v>
      </c>
      <c r="AI36" s="321">
        <f t="shared" si="7"/>
        <v>0</v>
      </c>
      <c r="AJ36" s="321">
        <f t="shared" si="7"/>
        <v>0</v>
      </c>
      <c r="AK36" s="321">
        <f t="shared" si="7"/>
        <v>0</v>
      </c>
      <c r="AL36" s="321">
        <f t="shared" si="7"/>
        <v>33183.15</v>
      </c>
      <c r="AM36" s="321">
        <f t="shared" si="7"/>
        <v>0</v>
      </c>
      <c r="AN36" s="321">
        <f t="shared" si="7"/>
        <v>0</v>
      </c>
      <c r="AO36" s="321">
        <f t="shared" si="7"/>
        <v>0</v>
      </c>
      <c r="AP36" s="321">
        <f t="shared" si="7"/>
        <v>0</v>
      </c>
      <c r="AQ36" s="321">
        <f t="shared" si="7"/>
        <v>0</v>
      </c>
      <c r="AR36" s="70">
        <f t="shared" si="6"/>
        <v>33183.15</v>
      </c>
    </row>
    <row r="37" spans="1:44" ht="10.5">
      <c r="A37" s="1" t="s">
        <v>970</v>
      </c>
      <c r="B37" s="4">
        <v>15060803</v>
      </c>
      <c r="C37" s="1" t="s">
        <v>848</v>
      </c>
      <c r="D37" s="1" t="s">
        <v>848</v>
      </c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8">
        <f t="shared" si="4"/>
        <v>0</v>
      </c>
      <c r="AC37" s="31"/>
      <c r="AE37" s="321">
        <f t="shared" si="7"/>
        <v>0</v>
      </c>
      <c r="AF37" s="321">
        <f t="shared" si="7"/>
        <v>0</v>
      </c>
      <c r="AG37" s="321">
        <f t="shared" si="7"/>
        <v>0</v>
      </c>
      <c r="AH37" s="321">
        <f t="shared" si="7"/>
        <v>0</v>
      </c>
      <c r="AI37" s="321">
        <f t="shared" si="7"/>
        <v>0</v>
      </c>
      <c r="AJ37" s="321">
        <f t="shared" si="7"/>
        <v>0</v>
      </c>
      <c r="AK37" s="321">
        <f t="shared" si="7"/>
        <v>0</v>
      </c>
      <c r="AL37" s="321">
        <f t="shared" si="7"/>
        <v>0</v>
      </c>
      <c r="AM37" s="321">
        <f t="shared" si="7"/>
        <v>0</v>
      </c>
      <c r="AN37" s="321">
        <f t="shared" si="7"/>
        <v>0</v>
      </c>
      <c r="AO37" s="321">
        <f t="shared" si="7"/>
        <v>0</v>
      </c>
      <c r="AP37" s="321">
        <f t="shared" si="7"/>
        <v>0</v>
      </c>
      <c r="AQ37" s="321">
        <f t="shared" si="7"/>
        <v>0</v>
      </c>
      <c r="AR37" s="70">
        <f t="shared" si="6"/>
        <v>0</v>
      </c>
    </row>
    <row r="38" spans="1:44" ht="10.5">
      <c r="A38" s="1" t="s">
        <v>533</v>
      </c>
      <c r="B38" s="4">
        <v>7000800</v>
      </c>
      <c r="C38" s="1" t="s">
        <v>627</v>
      </c>
      <c r="D38" s="1" t="s">
        <v>241</v>
      </c>
      <c r="E38" s="338">
        <v>33695</v>
      </c>
      <c r="F38" s="7">
        <v>100</v>
      </c>
      <c r="G38" s="1" t="s">
        <v>762</v>
      </c>
      <c r="H38" s="7">
        <v>65</v>
      </c>
      <c r="I38" s="7"/>
      <c r="J38" s="1" t="s">
        <v>754</v>
      </c>
      <c r="K38" s="1" t="s">
        <v>761</v>
      </c>
      <c r="L38" s="1" t="s">
        <v>745</v>
      </c>
      <c r="M38" s="333" t="s">
        <v>744</v>
      </c>
      <c r="N38" s="332">
        <v>40509</v>
      </c>
      <c r="O38" s="181">
        <v>5033.84</v>
      </c>
      <c r="P38" s="184">
        <v>4493.38</v>
      </c>
      <c r="Q38" s="229">
        <v>5328.68</v>
      </c>
      <c r="R38" s="192">
        <v>5751.52</v>
      </c>
      <c r="S38" s="195">
        <v>4596.79</v>
      </c>
      <c r="T38" s="238">
        <v>3133.78</v>
      </c>
      <c r="U38" s="347">
        <v>2582.08</v>
      </c>
      <c r="V38" s="212">
        <v>3259.22</v>
      </c>
      <c r="W38" s="217">
        <v>4840.8900000000003</v>
      </c>
      <c r="X38" s="220">
        <v>5822.93</v>
      </c>
      <c r="Y38" s="304">
        <v>6733.17</v>
      </c>
      <c r="Z38" s="172">
        <v>6046.35</v>
      </c>
      <c r="AA38" s="8">
        <f t="shared" si="4"/>
        <v>57622.63</v>
      </c>
      <c r="AC38" s="31"/>
      <c r="AE38" s="321">
        <f t="shared" si="7"/>
        <v>0</v>
      </c>
      <c r="AF38" s="321">
        <f t="shared" si="7"/>
        <v>0</v>
      </c>
      <c r="AG38" s="321">
        <f t="shared" si="7"/>
        <v>0</v>
      </c>
      <c r="AH38" s="321">
        <f t="shared" si="7"/>
        <v>0</v>
      </c>
      <c r="AI38" s="321">
        <f t="shared" si="7"/>
        <v>0</v>
      </c>
      <c r="AJ38" s="321">
        <f t="shared" si="7"/>
        <v>0</v>
      </c>
      <c r="AK38" s="321">
        <f t="shared" si="7"/>
        <v>0</v>
      </c>
      <c r="AL38" s="321">
        <f t="shared" si="7"/>
        <v>4840.8900000000003</v>
      </c>
      <c r="AM38" s="321">
        <f t="shared" si="7"/>
        <v>0</v>
      </c>
      <c r="AN38" s="321">
        <f t="shared" si="7"/>
        <v>0</v>
      </c>
      <c r="AO38" s="321">
        <f t="shared" si="7"/>
        <v>0</v>
      </c>
      <c r="AP38" s="321">
        <f t="shared" si="7"/>
        <v>0</v>
      </c>
      <c r="AQ38" s="321">
        <f t="shared" si="7"/>
        <v>0</v>
      </c>
      <c r="AR38" s="70">
        <f t="shared" si="6"/>
        <v>4840.8900000000003</v>
      </c>
    </row>
    <row r="39" spans="1:44" ht="10.5">
      <c r="A39" s="1" t="s">
        <v>705</v>
      </c>
      <c r="B39" s="4">
        <v>15033786</v>
      </c>
      <c r="C39" s="1" t="s">
        <v>563</v>
      </c>
      <c r="D39" s="1" t="s">
        <v>563</v>
      </c>
      <c r="E39" s="7"/>
      <c r="G39" s="1" t="s">
        <v>563</v>
      </c>
      <c r="H39" s="7">
        <v>5</v>
      </c>
      <c r="I39" s="7">
        <v>0</v>
      </c>
      <c r="K39" s="1" t="s">
        <v>446</v>
      </c>
      <c r="L39" s="1" t="s">
        <v>745</v>
      </c>
      <c r="M39" s="333" t="s">
        <v>744</v>
      </c>
      <c r="N39" s="332">
        <v>40510</v>
      </c>
      <c r="O39" s="181">
        <v>724.63</v>
      </c>
      <c r="P39" s="184">
        <v>820.25</v>
      </c>
      <c r="Q39" s="229">
        <v>1802.42</v>
      </c>
      <c r="R39" s="192">
        <v>2781.71</v>
      </c>
      <c r="S39" s="195">
        <v>728.9</v>
      </c>
      <c r="T39" s="32"/>
      <c r="U39" s="32"/>
      <c r="V39" s="32"/>
      <c r="W39" s="217">
        <v>1062.5</v>
      </c>
      <c r="X39" s="220">
        <v>2282.3200000000002</v>
      </c>
      <c r="Y39" s="304">
        <v>2144.13</v>
      </c>
      <c r="Z39" s="32"/>
      <c r="AA39" s="8">
        <f t="shared" si="4"/>
        <v>12346.86</v>
      </c>
      <c r="AC39" s="31"/>
      <c r="AE39" s="321">
        <f t="shared" si="7"/>
        <v>0</v>
      </c>
      <c r="AF39" s="321">
        <f t="shared" si="7"/>
        <v>0</v>
      </c>
      <c r="AG39" s="321">
        <f t="shared" si="7"/>
        <v>0</v>
      </c>
      <c r="AH39" s="321">
        <f t="shared" si="7"/>
        <v>0</v>
      </c>
      <c r="AI39" s="321">
        <f t="shared" si="7"/>
        <v>0</v>
      </c>
      <c r="AJ39" s="321">
        <f t="shared" si="7"/>
        <v>0</v>
      </c>
      <c r="AK39" s="321">
        <f t="shared" si="7"/>
        <v>0</v>
      </c>
      <c r="AL39" s="321">
        <f t="shared" si="7"/>
        <v>0</v>
      </c>
      <c r="AM39" s="321">
        <f t="shared" si="7"/>
        <v>0</v>
      </c>
      <c r="AN39" s="321">
        <f t="shared" si="7"/>
        <v>0</v>
      </c>
      <c r="AO39" s="321">
        <f t="shared" si="7"/>
        <v>1062.5</v>
      </c>
      <c r="AP39" s="321">
        <f t="shared" si="7"/>
        <v>0</v>
      </c>
      <c r="AQ39" s="321">
        <f t="shared" si="7"/>
        <v>0</v>
      </c>
      <c r="AR39" s="70">
        <f t="shared" si="6"/>
        <v>1062.5</v>
      </c>
    </row>
    <row r="40" spans="1:44" ht="10.5">
      <c r="A40" s="1" t="s">
        <v>535</v>
      </c>
      <c r="B40" s="42">
        <v>7008100</v>
      </c>
      <c r="C40" s="11" t="s">
        <v>259</v>
      </c>
      <c r="D40" s="11" t="s">
        <v>384</v>
      </c>
      <c r="E40" s="338">
        <v>36312</v>
      </c>
      <c r="F40" s="340">
        <v>140</v>
      </c>
      <c r="G40" s="1" t="s">
        <v>384</v>
      </c>
      <c r="H40" s="7">
        <v>230</v>
      </c>
      <c r="I40" s="7">
        <v>13</v>
      </c>
      <c r="J40" s="1" t="s">
        <v>751</v>
      </c>
      <c r="K40" s="1" t="s">
        <v>415</v>
      </c>
      <c r="L40" s="1" t="s">
        <v>745</v>
      </c>
      <c r="M40" s="333" t="s">
        <v>744</v>
      </c>
      <c r="N40" s="332">
        <v>40511</v>
      </c>
      <c r="O40" s="181">
        <v>70836.62</v>
      </c>
      <c r="P40" s="184">
        <v>57675.13</v>
      </c>
      <c r="Q40" s="229">
        <v>66750.06</v>
      </c>
      <c r="R40" s="192">
        <v>89701.88</v>
      </c>
      <c r="S40" s="195">
        <v>56039.46</v>
      </c>
      <c r="T40" s="238">
        <v>34087.980000000003</v>
      </c>
      <c r="U40" s="347">
        <v>39319.410000000003</v>
      </c>
      <c r="V40" s="212">
        <v>47401.72</v>
      </c>
      <c r="W40" s="217">
        <v>64082.239999999998</v>
      </c>
      <c r="X40" s="220">
        <v>80480.69</v>
      </c>
      <c r="Y40" s="304">
        <v>75151.58</v>
      </c>
      <c r="Z40" s="172">
        <v>69976.710000000006</v>
      </c>
      <c r="AA40" s="8">
        <f t="shared" si="4"/>
        <v>751503.47999999986</v>
      </c>
      <c r="AC40" s="31"/>
      <c r="AE40" s="321">
        <f t="shared" si="7"/>
        <v>0</v>
      </c>
      <c r="AF40" s="321">
        <f t="shared" si="7"/>
        <v>0</v>
      </c>
      <c r="AG40" s="321">
        <f t="shared" si="7"/>
        <v>0</v>
      </c>
      <c r="AH40" s="321">
        <f t="shared" si="7"/>
        <v>0</v>
      </c>
      <c r="AI40" s="321">
        <f t="shared" si="7"/>
        <v>0</v>
      </c>
      <c r="AJ40" s="321">
        <f t="shared" si="7"/>
        <v>64082.239999999998</v>
      </c>
      <c r="AK40" s="321">
        <f t="shared" si="7"/>
        <v>0</v>
      </c>
      <c r="AL40" s="321">
        <f t="shared" si="7"/>
        <v>0</v>
      </c>
      <c r="AM40" s="321">
        <f t="shared" si="7"/>
        <v>0</v>
      </c>
      <c r="AN40" s="321">
        <f t="shared" si="7"/>
        <v>0</v>
      </c>
      <c r="AO40" s="321">
        <f t="shared" si="7"/>
        <v>0</v>
      </c>
      <c r="AP40" s="321">
        <f t="shared" si="7"/>
        <v>0</v>
      </c>
      <c r="AQ40" s="321">
        <f t="shared" si="7"/>
        <v>0</v>
      </c>
      <c r="AR40" s="70">
        <f t="shared" si="6"/>
        <v>64082.239999999998</v>
      </c>
    </row>
    <row r="41" spans="1:44" ht="10.5">
      <c r="A41" s="1" t="s">
        <v>970</v>
      </c>
      <c r="B41" s="4">
        <v>15021911</v>
      </c>
      <c r="C41" s="1" t="s">
        <v>849</v>
      </c>
      <c r="D41" s="1" t="s">
        <v>855</v>
      </c>
      <c r="F41" s="32"/>
      <c r="G41" s="32"/>
      <c r="H41" s="32"/>
      <c r="I41" s="32"/>
      <c r="J41" s="32"/>
      <c r="K41" s="32"/>
      <c r="M41" s="333"/>
      <c r="N41" s="349"/>
      <c r="O41" s="181">
        <v>138.5</v>
      </c>
      <c r="P41" s="32"/>
      <c r="Q41" s="32"/>
      <c r="R41" s="32"/>
      <c r="S41" s="32"/>
      <c r="T41" s="32"/>
      <c r="U41" s="17"/>
      <c r="V41" s="321"/>
      <c r="W41" s="321"/>
      <c r="X41" s="365"/>
      <c r="Y41" s="49"/>
      <c r="Z41" s="321"/>
      <c r="AA41" s="8">
        <f t="shared" si="4"/>
        <v>138.5</v>
      </c>
      <c r="AC41" s="31"/>
      <c r="AE41" s="321">
        <f t="shared" si="7"/>
        <v>0</v>
      </c>
      <c r="AF41" s="321">
        <f t="shared" si="7"/>
        <v>0</v>
      </c>
      <c r="AG41" s="321">
        <f t="shared" si="7"/>
        <v>0</v>
      </c>
      <c r="AH41" s="321">
        <f t="shared" si="7"/>
        <v>0</v>
      </c>
      <c r="AI41" s="321">
        <f t="shared" si="7"/>
        <v>0</v>
      </c>
      <c r="AJ41" s="321">
        <f t="shared" si="7"/>
        <v>0</v>
      </c>
      <c r="AK41" s="321">
        <f t="shared" si="7"/>
        <v>0</v>
      </c>
      <c r="AL41" s="321">
        <f t="shared" si="7"/>
        <v>0</v>
      </c>
      <c r="AM41" s="321">
        <f t="shared" si="7"/>
        <v>0</v>
      </c>
      <c r="AN41" s="321">
        <f t="shared" si="7"/>
        <v>0</v>
      </c>
      <c r="AO41" s="321">
        <f t="shared" si="7"/>
        <v>0</v>
      </c>
      <c r="AP41" s="321">
        <f t="shared" si="7"/>
        <v>0</v>
      </c>
      <c r="AQ41" s="321">
        <f t="shared" si="7"/>
        <v>0</v>
      </c>
      <c r="AR41" s="70">
        <f t="shared" si="6"/>
        <v>0</v>
      </c>
    </row>
    <row r="42" spans="1:44" ht="10.5">
      <c r="A42" s="1" t="s">
        <v>658</v>
      </c>
      <c r="B42" s="4">
        <v>15062402</v>
      </c>
      <c r="C42" s="1" t="s">
        <v>242</v>
      </c>
      <c r="D42" s="1" t="s">
        <v>242</v>
      </c>
      <c r="E42" s="338">
        <v>35674</v>
      </c>
      <c r="F42" s="7">
        <v>102</v>
      </c>
      <c r="G42" s="1" t="s">
        <v>242</v>
      </c>
      <c r="H42" s="7">
        <v>126</v>
      </c>
      <c r="I42" s="7">
        <v>0</v>
      </c>
      <c r="J42" s="1" t="s">
        <v>763</v>
      </c>
      <c r="K42" s="1" t="s">
        <v>417</v>
      </c>
      <c r="L42" s="1" t="s">
        <v>745</v>
      </c>
      <c r="M42" s="333" t="s">
        <v>744</v>
      </c>
      <c r="N42" s="332">
        <v>40503</v>
      </c>
      <c r="O42" s="181">
        <v>12091.68</v>
      </c>
      <c r="P42" s="184">
        <v>10081.799999999999</v>
      </c>
      <c r="Q42" s="229">
        <v>13171.63</v>
      </c>
      <c r="R42" s="192">
        <v>13772.64</v>
      </c>
      <c r="S42" s="32"/>
      <c r="T42" s="238">
        <v>6057.48</v>
      </c>
      <c r="U42" s="347">
        <v>7406.06</v>
      </c>
      <c r="V42" s="212">
        <v>6744.44</v>
      </c>
      <c r="W42" s="372"/>
      <c r="X42" s="220">
        <v>12836.25</v>
      </c>
      <c r="Y42" s="304">
        <v>12144.91</v>
      </c>
      <c r="Z42" s="172">
        <v>11251.97</v>
      </c>
      <c r="AA42" s="8">
        <f t="shared" si="4"/>
        <v>105558.86</v>
      </c>
      <c r="AC42" s="31"/>
      <c r="AE42" s="321">
        <f t="shared" si="7"/>
        <v>0</v>
      </c>
      <c r="AF42" s="321">
        <f t="shared" si="7"/>
        <v>0</v>
      </c>
      <c r="AG42" s="321">
        <f t="shared" si="7"/>
        <v>0</v>
      </c>
      <c r="AH42" s="321">
        <f t="shared" si="7"/>
        <v>0</v>
      </c>
      <c r="AI42" s="321">
        <f t="shared" si="7"/>
        <v>0</v>
      </c>
      <c r="AJ42" s="321">
        <f t="shared" si="7"/>
        <v>0</v>
      </c>
      <c r="AK42" s="321">
        <f t="shared" si="7"/>
        <v>0</v>
      </c>
      <c r="AL42" s="321">
        <f t="shared" si="7"/>
        <v>0</v>
      </c>
      <c r="AM42" s="321">
        <f t="shared" si="7"/>
        <v>0</v>
      </c>
      <c r="AN42" s="321">
        <f t="shared" si="7"/>
        <v>0</v>
      </c>
      <c r="AO42" s="321">
        <f t="shared" si="7"/>
        <v>0</v>
      </c>
      <c r="AP42" s="321">
        <f t="shared" si="7"/>
        <v>0</v>
      </c>
      <c r="AQ42" s="321">
        <f t="shared" si="7"/>
        <v>0</v>
      </c>
      <c r="AR42" s="70">
        <f t="shared" si="6"/>
        <v>0</v>
      </c>
    </row>
    <row r="43" spans="1:44" ht="10.5">
      <c r="A43" s="1" t="s">
        <v>704</v>
      </c>
      <c r="B43" s="4">
        <v>15062403</v>
      </c>
      <c r="D43" s="1" t="s">
        <v>890</v>
      </c>
      <c r="O43" s="32"/>
      <c r="P43" s="32"/>
      <c r="Q43" s="229">
        <v>8475.68</v>
      </c>
      <c r="R43" s="192">
        <v>8841.14</v>
      </c>
      <c r="S43" s="32"/>
      <c r="T43" s="238">
        <v>4483.93</v>
      </c>
      <c r="U43" s="347">
        <v>5911</v>
      </c>
      <c r="V43" s="212">
        <v>6063</v>
      </c>
      <c r="W43" s="373"/>
      <c r="X43" s="220">
        <v>8218.6</v>
      </c>
      <c r="Y43" s="304">
        <v>7972.17</v>
      </c>
      <c r="Z43" s="172">
        <v>8443.77</v>
      </c>
      <c r="AA43" s="8">
        <f t="shared" si="4"/>
        <v>58409.289999999994</v>
      </c>
      <c r="AC43" s="31"/>
      <c r="AE43" s="321">
        <f t="shared" si="7"/>
        <v>0</v>
      </c>
      <c r="AF43" s="321">
        <f t="shared" si="7"/>
        <v>0</v>
      </c>
      <c r="AG43" s="321">
        <f t="shared" si="7"/>
        <v>0</v>
      </c>
      <c r="AH43" s="321">
        <f t="shared" si="7"/>
        <v>0</v>
      </c>
      <c r="AI43" s="321">
        <f t="shared" si="7"/>
        <v>0</v>
      </c>
      <c r="AJ43" s="321">
        <f t="shared" si="7"/>
        <v>0</v>
      </c>
      <c r="AK43" s="321">
        <f t="shared" si="7"/>
        <v>0</v>
      </c>
      <c r="AL43" s="321">
        <f t="shared" si="7"/>
        <v>0</v>
      </c>
      <c r="AM43" s="321">
        <f t="shared" si="7"/>
        <v>0</v>
      </c>
      <c r="AN43" s="321">
        <f t="shared" si="7"/>
        <v>0</v>
      </c>
      <c r="AO43" s="321">
        <f t="shared" si="7"/>
        <v>0</v>
      </c>
      <c r="AP43" s="321">
        <f t="shared" si="7"/>
        <v>0</v>
      </c>
      <c r="AQ43" s="321">
        <f t="shared" si="7"/>
        <v>0</v>
      </c>
      <c r="AR43" s="70">
        <f t="shared" si="6"/>
        <v>0</v>
      </c>
    </row>
    <row r="44" spans="1:44" ht="10.5">
      <c r="A44" s="1" t="s">
        <v>535</v>
      </c>
      <c r="B44" s="4">
        <v>15006827</v>
      </c>
      <c r="C44" s="1" t="s">
        <v>598</v>
      </c>
      <c r="D44" s="1" t="s">
        <v>344</v>
      </c>
      <c r="E44" s="7">
        <v>2009</v>
      </c>
      <c r="F44" s="7">
        <v>4124</v>
      </c>
      <c r="G44" s="1" t="s">
        <v>764</v>
      </c>
      <c r="H44" s="7">
        <v>114</v>
      </c>
      <c r="I44" s="7">
        <v>2</v>
      </c>
      <c r="J44" s="1" t="s">
        <v>765</v>
      </c>
      <c r="K44" s="1" t="s">
        <v>418</v>
      </c>
      <c r="L44" s="1" t="s">
        <v>745</v>
      </c>
      <c r="M44" s="333" t="s">
        <v>744</v>
      </c>
      <c r="N44" s="332">
        <v>40511</v>
      </c>
      <c r="O44" s="181">
        <v>28808.2</v>
      </c>
      <c r="P44" s="184">
        <v>27460.78</v>
      </c>
      <c r="Q44" s="229">
        <v>21620.6</v>
      </c>
      <c r="R44" s="192">
        <v>28329.57</v>
      </c>
      <c r="S44" s="195">
        <v>16316.43</v>
      </c>
      <c r="T44" s="238">
        <v>9007.3700000000008</v>
      </c>
      <c r="U44" s="347">
        <v>7630.71</v>
      </c>
      <c r="V44" s="212">
        <v>10708.39</v>
      </c>
      <c r="W44" s="217">
        <v>18777.27</v>
      </c>
      <c r="X44" s="220">
        <v>23100.54</v>
      </c>
      <c r="Y44" s="304">
        <v>24848.65</v>
      </c>
      <c r="Z44" s="172">
        <v>26137.08</v>
      </c>
      <c r="AA44" s="8">
        <f t="shared" si="4"/>
        <v>242745.58999999997</v>
      </c>
      <c r="AC44" s="31"/>
      <c r="AE44" s="321">
        <f t="shared" si="7"/>
        <v>0</v>
      </c>
      <c r="AF44" s="321">
        <f t="shared" si="7"/>
        <v>0</v>
      </c>
      <c r="AG44" s="321">
        <f t="shared" si="7"/>
        <v>0</v>
      </c>
      <c r="AH44" s="321">
        <f t="shared" si="7"/>
        <v>0</v>
      </c>
      <c r="AI44" s="321">
        <f t="shared" si="7"/>
        <v>0</v>
      </c>
      <c r="AJ44" s="321">
        <f t="shared" si="7"/>
        <v>18777.27</v>
      </c>
      <c r="AK44" s="321">
        <f t="shared" si="7"/>
        <v>0</v>
      </c>
      <c r="AL44" s="321">
        <f t="shared" si="7"/>
        <v>0</v>
      </c>
      <c r="AM44" s="321">
        <f t="shared" si="7"/>
        <v>0</v>
      </c>
      <c r="AN44" s="321">
        <f t="shared" si="7"/>
        <v>0</v>
      </c>
      <c r="AO44" s="321">
        <f t="shared" si="7"/>
        <v>0</v>
      </c>
      <c r="AP44" s="321">
        <f t="shared" si="7"/>
        <v>0</v>
      </c>
      <c r="AQ44" s="321">
        <f t="shared" si="7"/>
        <v>0</v>
      </c>
      <c r="AR44" s="70">
        <f t="shared" si="6"/>
        <v>18777.27</v>
      </c>
    </row>
    <row r="45" spans="1:44" ht="10.5">
      <c r="A45" s="1" t="s">
        <v>537</v>
      </c>
      <c r="B45" s="4">
        <v>15036833</v>
      </c>
      <c r="C45" s="1" t="s">
        <v>591</v>
      </c>
      <c r="D45" s="1" t="s">
        <v>591</v>
      </c>
      <c r="E45" s="338">
        <v>34516</v>
      </c>
      <c r="F45" s="7">
        <v>103</v>
      </c>
      <c r="G45" s="1" t="s">
        <v>766</v>
      </c>
      <c r="H45" s="7">
        <v>60</v>
      </c>
      <c r="I45" s="7">
        <v>0</v>
      </c>
      <c r="J45" s="1" t="s">
        <v>765</v>
      </c>
      <c r="K45" s="1" t="s">
        <v>459</v>
      </c>
      <c r="L45" s="1" t="s">
        <v>745</v>
      </c>
      <c r="M45" s="333" t="s">
        <v>744</v>
      </c>
      <c r="N45" s="332">
        <v>40513</v>
      </c>
      <c r="O45" s="181">
        <v>14579.97</v>
      </c>
      <c r="P45" s="184">
        <v>13340.54</v>
      </c>
      <c r="Q45" s="229">
        <v>14781.04</v>
      </c>
      <c r="R45" s="192">
        <v>18322.32</v>
      </c>
      <c r="S45" s="32"/>
      <c r="T45" s="238">
        <v>8465.26</v>
      </c>
      <c r="U45" s="347">
        <v>7229.87</v>
      </c>
      <c r="V45" s="212">
        <v>8582.01</v>
      </c>
      <c r="W45" s="217">
        <v>13362.95</v>
      </c>
      <c r="X45" s="220">
        <v>14756.24</v>
      </c>
      <c r="Y45" s="304">
        <v>14116.99</v>
      </c>
      <c r="Z45" s="172">
        <v>10896.75</v>
      </c>
      <c r="AA45" s="8">
        <f t="shared" si="4"/>
        <v>138433.94</v>
      </c>
      <c r="AC45" s="31"/>
      <c r="AE45" s="321">
        <f t="shared" si="7"/>
        <v>0</v>
      </c>
      <c r="AF45" s="321">
        <f t="shared" si="7"/>
        <v>13362.95</v>
      </c>
      <c r="AG45" s="321">
        <f t="shared" si="7"/>
        <v>0</v>
      </c>
      <c r="AH45" s="321">
        <f t="shared" si="7"/>
        <v>0</v>
      </c>
      <c r="AI45" s="321">
        <f t="shared" si="7"/>
        <v>0</v>
      </c>
      <c r="AJ45" s="321">
        <f t="shared" si="7"/>
        <v>0</v>
      </c>
      <c r="AK45" s="321">
        <f t="shared" si="7"/>
        <v>0</v>
      </c>
      <c r="AL45" s="321">
        <f t="shared" si="7"/>
        <v>0</v>
      </c>
      <c r="AM45" s="321">
        <f t="shared" si="7"/>
        <v>0</v>
      </c>
      <c r="AN45" s="321">
        <f t="shared" si="7"/>
        <v>0</v>
      </c>
      <c r="AO45" s="321">
        <f t="shared" si="7"/>
        <v>0</v>
      </c>
      <c r="AP45" s="321">
        <f t="shared" si="7"/>
        <v>0</v>
      </c>
      <c r="AQ45" s="321">
        <f t="shared" si="7"/>
        <v>0</v>
      </c>
      <c r="AR45" s="70">
        <f t="shared" si="6"/>
        <v>13362.95</v>
      </c>
    </row>
    <row r="46" spans="1:44" ht="10.5">
      <c r="A46" s="1" t="s">
        <v>530</v>
      </c>
      <c r="B46" s="4">
        <v>15059799</v>
      </c>
      <c r="D46" s="1" t="s">
        <v>887</v>
      </c>
      <c r="O46" s="32"/>
      <c r="P46" s="32"/>
      <c r="Q46" s="229">
        <v>3187.98</v>
      </c>
      <c r="R46" s="192">
        <v>15852.14</v>
      </c>
      <c r="S46" s="32"/>
      <c r="T46" s="238">
        <v>6629.92</v>
      </c>
      <c r="U46" s="347">
        <v>7761.1</v>
      </c>
      <c r="V46" s="212">
        <v>8703.14</v>
      </c>
      <c r="W46" s="217">
        <v>14579.07</v>
      </c>
      <c r="X46" s="220">
        <v>16240.27</v>
      </c>
      <c r="Y46" s="304">
        <v>15949.16</v>
      </c>
      <c r="Z46" s="172">
        <v>14758.31</v>
      </c>
      <c r="AA46" s="8">
        <f t="shared" si="4"/>
        <v>103661.09</v>
      </c>
      <c r="AC46" s="31"/>
      <c r="AE46" s="321">
        <f t="shared" si="7"/>
        <v>0</v>
      </c>
      <c r="AF46" s="321">
        <f t="shared" si="7"/>
        <v>0</v>
      </c>
      <c r="AG46" s="321">
        <f t="shared" si="7"/>
        <v>0</v>
      </c>
      <c r="AH46" s="321">
        <f t="shared" si="7"/>
        <v>0</v>
      </c>
      <c r="AI46" s="321">
        <f t="shared" si="7"/>
        <v>14579.07</v>
      </c>
      <c r="AJ46" s="321">
        <f t="shared" si="7"/>
        <v>0</v>
      </c>
      <c r="AK46" s="321">
        <f t="shared" si="7"/>
        <v>0</v>
      </c>
      <c r="AL46" s="321">
        <f t="shared" si="7"/>
        <v>0</v>
      </c>
      <c r="AM46" s="321">
        <f t="shared" si="7"/>
        <v>0</v>
      </c>
      <c r="AN46" s="321">
        <f t="shared" si="7"/>
        <v>0</v>
      </c>
      <c r="AO46" s="321">
        <f t="shared" si="7"/>
        <v>0</v>
      </c>
      <c r="AP46" s="321">
        <f t="shared" si="7"/>
        <v>0</v>
      </c>
      <c r="AQ46" s="321">
        <f t="shared" si="7"/>
        <v>0</v>
      </c>
      <c r="AR46" s="70">
        <f t="shared" si="6"/>
        <v>14579.07</v>
      </c>
    </row>
    <row r="47" spans="1:44" ht="10.5">
      <c r="A47" s="1" t="s">
        <v>535</v>
      </c>
      <c r="B47" s="4">
        <v>15031377</v>
      </c>
      <c r="C47" s="1" t="s">
        <v>625</v>
      </c>
      <c r="D47" s="1" t="s">
        <v>497</v>
      </c>
      <c r="E47" s="7">
        <v>1974</v>
      </c>
      <c r="G47" s="1" t="s">
        <v>798</v>
      </c>
      <c r="H47" s="7">
        <v>174</v>
      </c>
      <c r="I47" s="7">
        <v>7</v>
      </c>
      <c r="J47" s="1" t="s">
        <v>797</v>
      </c>
      <c r="K47" s="1" t="s">
        <v>457</v>
      </c>
      <c r="L47" s="1" t="s">
        <v>745</v>
      </c>
      <c r="M47" s="333" t="s">
        <v>744</v>
      </c>
      <c r="N47" s="332">
        <v>40511</v>
      </c>
      <c r="O47" s="181">
        <v>22492.45</v>
      </c>
      <c r="P47" s="184">
        <v>14185.31</v>
      </c>
      <c r="Q47" s="229">
        <v>16592.259999999998</v>
      </c>
      <c r="R47" s="195">
        <v>23390.39</v>
      </c>
      <c r="S47" s="195">
        <v>14303.21</v>
      </c>
      <c r="T47" s="238">
        <v>3481.94</v>
      </c>
      <c r="U47" s="347">
        <v>4633.18</v>
      </c>
      <c r="V47" s="212">
        <v>8022.39</v>
      </c>
      <c r="W47" s="32"/>
      <c r="X47" s="220">
        <v>16769.48</v>
      </c>
      <c r="Y47" s="304">
        <v>16188.59</v>
      </c>
      <c r="Z47" s="172">
        <v>13946.73</v>
      </c>
      <c r="AA47" s="8">
        <f t="shared" si="4"/>
        <v>154005.93</v>
      </c>
      <c r="AC47" s="31"/>
      <c r="AE47" s="321">
        <f t="shared" si="7"/>
        <v>0</v>
      </c>
      <c r="AF47" s="321">
        <f t="shared" si="7"/>
        <v>0</v>
      </c>
      <c r="AG47" s="321">
        <f t="shared" si="7"/>
        <v>0</v>
      </c>
      <c r="AH47" s="321">
        <f t="shared" si="7"/>
        <v>0</v>
      </c>
      <c r="AI47" s="321">
        <f t="shared" si="7"/>
        <v>0</v>
      </c>
      <c r="AJ47" s="321">
        <f t="shared" si="7"/>
        <v>0</v>
      </c>
      <c r="AK47" s="321">
        <f t="shared" si="7"/>
        <v>0</v>
      </c>
      <c r="AL47" s="321">
        <f t="shared" si="7"/>
        <v>0</v>
      </c>
      <c r="AM47" s="321">
        <f t="shared" si="7"/>
        <v>0</v>
      </c>
      <c r="AN47" s="321">
        <f t="shared" si="7"/>
        <v>0</v>
      </c>
      <c r="AO47" s="321">
        <f t="shared" si="7"/>
        <v>0</v>
      </c>
      <c r="AP47" s="321">
        <f t="shared" si="7"/>
        <v>0</v>
      </c>
      <c r="AQ47" s="321">
        <f t="shared" si="7"/>
        <v>0</v>
      </c>
      <c r="AR47" s="70">
        <f>+SUM(AE47:AQ47)</f>
        <v>0</v>
      </c>
    </row>
    <row r="48" spans="1:44" ht="10.5">
      <c r="A48" s="1" t="s">
        <v>535</v>
      </c>
      <c r="B48" s="4">
        <v>7002501</v>
      </c>
      <c r="D48" s="1" t="s">
        <v>892</v>
      </c>
      <c r="E48" s="7"/>
      <c r="H48" s="7"/>
      <c r="I48" s="7"/>
      <c r="M48" s="333"/>
      <c r="N48" s="332"/>
      <c r="O48" s="374"/>
      <c r="P48" s="374"/>
      <c r="Q48" s="374"/>
      <c r="R48" s="374"/>
      <c r="S48" s="374"/>
      <c r="T48" s="374"/>
      <c r="U48" s="374"/>
      <c r="V48" s="212">
        <v>3673</v>
      </c>
      <c r="W48" s="217">
        <v>11217</v>
      </c>
      <c r="X48" s="220">
        <v>16481</v>
      </c>
      <c r="Y48" s="304">
        <v>18761</v>
      </c>
      <c r="Z48" s="172">
        <v>17978</v>
      </c>
      <c r="AA48" s="8">
        <f t="shared" si="4"/>
        <v>68110</v>
      </c>
      <c r="AC48" s="31"/>
      <c r="AE48" s="321">
        <f t="shared" si="7"/>
        <v>0</v>
      </c>
      <c r="AF48" s="321">
        <f t="shared" si="7"/>
        <v>0</v>
      </c>
      <c r="AG48" s="321">
        <f t="shared" si="7"/>
        <v>0</v>
      </c>
      <c r="AH48" s="321">
        <f t="shared" si="7"/>
        <v>0</v>
      </c>
      <c r="AI48" s="321">
        <f t="shared" si="7"/>
        <v>0</v>
      </c>
      <c r="AJ48" s="321">
        <f t="shared" si="7"/>
        <v>11217</v>
      </c>
      <c r="AK48" s="321">
        <f t="shared" si="7"/>
        <v>0</v>
      </c>
      <c r="AL48" s="321">
        <f t="shared" si="7"/>
        <v>0</v>
      </c>
      <c r="AM48" s="321">
        <f t="shared" si="7"/>
        <v>0</v>
      </c>
      <c r="AN48" s="321">
        <f t="shared" si="7"/>
        <v>0</v>
      </c>
      <c r="AO48" s="321">
        <f t="shared" si="7"/>
        <v>0</v>
      </c>
      <c r="AP48" s="321">
        <f t="shared" si="7"/>
        <v>0</v>
      </c>
      <c r="AQ48" s="321">
        <f t="shared" si="7"/>
        <v>0</v>
      </c>
      <c r="AR48" s="70">
        <f t="shared" ref="AR48:AR109" si="8">+SUM(AE48:AQ48)</f>
        <v>11217</v>
      </c>
    </row>
    <row r="49" spans="1:44" ht="10.5">
      <c r="A49" s="1" t="s">
        <v>970</v>
      </c>
      <c r="B49" s="4">
        <v>15029987</v>
      </c>
      <c r="C49" s="1" t="s">
        <v>690</v>
      </c>
      <c r="D49" s="1" t="s">
        <v>619</v>
      </c>
      <c r="O49" s="181">
        <v>332.45</v>
      </c>
      <c r="P49" s="184">
        <v>648.13</v>
      </c>
      <c r="Q49" s="229">
        <v>385.76</v>
      </c>
      <c r="R49" s="192">
        <v>956.42</v>
      </c>
      <c r="S49" s="32"/>
      <c r="T49" s="32"/>
      <c r="U49" s="32"/>
      <c r="V49" s="32"/>
      <c r="W49" s="32"/>
      <c r="X49" s="32"/>
      <c r="Y49" s="32"/>
      <c r="Z49" s="32"/>
      <c r="AA49" s="8">
        <f t="shared" si="4"/>
        <v>2322.7599999999998</v>
      </c>
      <c r="AC49" s="31"/>
      <c r="AE49" s="321">
        <f t="shared" si="7"/>
        <v>0</v>
      </c>
      <c r="AF49" s="321">
        <f t="shared" si="7"/>
        <v>0</v>
      </c>
      <c r="AG49" s="321">
        <f t="shared" si="7"/>
        <v>0</v>
      </c>
      <c r="AH49" s="321">
        <f t="shared" si="7"/>
        <v>0</v>
      </c>
      <c r="AI49" s="321">
        <f t="shared" si="7"/>
        <v>0</v>
      </c>
      <c r="AJ49" s="321">
        <f t="shared" si="7"/>
        <v>0</v>
      </c>
      <c r="AK49" s="321">
        <f t="shared" si="7"/>
        <v>0</v>
      </c>
      <c r="AL49" s="321">
        <f t="shared" si="7"/>
        <v>0</v>
      </c>
      <c r="AM49" s="321">
        <f t="shared" si="7"/>
        <v>0</v>
      </c>
      <c r="AN49" s="321">
        <f t="shared" si="7"/>
        <v>0</v>
      </c>
      <c r="AO49" s="321">
        <f t="shared" si="7"/>
        <v>0</v>
      </c>
      <c r="AP49" s="321">
        <f t="shared" si="7"/>
        <v>0</v>
      </c>
      <c r="AQ49" s="321">
        <f t="shared" si="7"/>
        <v>0</v>
      </c>
      <c r="AR49" s="70">
        <f t="shared" si="8"/>
        <v>0</v>
      </c>
    </row>
    <row r="50" spans="1:44" ht="10.5">
      <c r="A50" s="1" t="s">
        <v>659</v>
      </c>
      <c r="B50" s="4">
        <v>15056860</v>
      </c>
      <c r="C50" s="1" t="s">
        <v>565</v>
      </c>
      <c r="D50" s="1" t="s">
        <v>565</v>
      </c>
      <c r="E50" s="338">
        <v>36465</v>
      </c>
      <c r="G50" s="1" t="s">
        <v>767</v>
      </c>
      <c r="H50" s="7">
        <v>56</v>
      </c>
      <c r="I50" s="7">
        <v>0</v>
      </c>
      <c r="J50" s="1" t="s">
        <v>748</v>
      </c>
      <c r="K50" s="1" t="s">
        <v>438</v>
      </c>
      <c r="L50" s="1" t="s">
        <v>745</v>
      </c>
      <c r="M50" s="333" t="s">
        <v>744</v>
      </c>
      <c r="N50" s="332">
        <v>40505</v>
      </c>
      <c r="O50" s="181">
        <v>8808.93</v>
      </c>
      <c r="P50" s="184">
        <v>6719.27</v>
      </c>
      <c r="Q50" s="229">
        <v>6951.41</v>
      </c>
      <c r="R50" s="192">
        <v>9633.8700000000008</v>
      </c>
      <c r="S50" s="195">
        <v>6823.83</v>
      </c>
      <c r="T50" s="238">
        <v>4850.8999999999996</v>
      </c>
      <c r="U50" s="347">
        <v>4242.3500000000004</v>
      </c>
      <c r="V50" s="212">
        <v>4277.6499999999996</v>
      </c>
      <c r="W50" s="217">
        <v>6891.6</v>
      </c>
      <c r="X50" s="220">
        <v>7599.05</v>
      </c>
      <c r="Y50" s="304">
        <v>7988.52</v>
      </c>
      <c r="Z50" s="172">
        <v>7886.33</v>
      </c>
      <c r="AA50" s="8">
        <f t="shared" si="4"/>
        <v>82673.710000000006</v>
      </c>
      <c r="AC50" s="31"/>
      <c r="AE50" s="321">
        <f t="shared" si="7"/>
        <v>0</v>
      </c>
      <c r="AF50" s="321">
        <f t="shared" si="7"/>
        <v>0</v>
      </c>
      <c r="AG50" s="321">
        <f t="shared" si="7"/>
        <v>0</v>
      </c>
      <c r="AH50" s="321">
        <f t="shared" si="7"/>
        <v>0</v>
      </c>
      <c r="AI50" s="321">
        <f t="shared" si="7"/>
        <v>0</v>
      </c>
      <c r="AJ50" s="321">
        <f t="shared" si="7"/>
        <v>0</v>
      </c>
      <c r="AK50" s="321">
        <f t="shared" si="7"/>
        <v>0</v>
      </c>
      <c r="AL50" s="321">
        <f t="shared" si="7"/>
        <v>0</v>
      </c>
      <c r="AM50" s="321">
        <f t="shared" si="7"/>
        <v>6891.6</v>
      </c>
      <c r="AN50" s="321">
        <f t="shared" si="7"/>
        <v>0</v>
      </c>
      <c r="AO50" s="321">
        <f t="shared" si="7"/>
        <v>0</v>
      </c>
      <c r="AP50" s="321">
        <f t="shared" si="7"/>
        <v>0</v>
      </c>
      <c r="AQ50" s="321">
        <f t="shared" si="7"/>
        <v>0</v>
      </c>
      <c r="AR50" s="70">
        <f t="shared" si="8"/>
        <v>6891.6</v>
      </c>
    </row>
    <row r="51" spans="1:44" ht="10.5">
      <c r="A51" s="1" t="s">
        <v>659</v>
      </c>
      <c r="B51" s="4">
        <v>15007588</v>
      </c>
      <c r="C51" s="1" t="s">
        <v>620</v>
      </c>
      <c r="D51" s="1" t="s">
        <v>667</v>
      </c>
      <c r="E51" s="338">
        <v>32295</v>
      </c>
      <c r="G51" s="1" t="s">
        <v>816</v>
      </c>
      <c r="H51" s="7">
        <v>125</v>
      </c>
      <c r="I51" s="7">
        <v>1</v>
      </c>
      <c r="J51" s="1" t="s">
        <v>751</v>
      </c>
      <c r="K51" s="1" t="s">
        <v>815</v>
      </c>
      <c r="L51" s="1" t="s">
        <v>745</v>
      </c>
      <c r="M51" s="333" t="s">
        <v>744</v>
      </c>
      <c r="N51" s="332">
        <v>40505</v>
      </c>
      <c r="O51" s="181">
        <v>26563.22</v>
      </c>
      <c r="P51" s="184">
        <v>23177.119999999999</v>
      </c>
      <c r="Q51" s="229">
        <v>24968.01</v>
      </c>
      <c r="R51" s="192">
        <v>29494.78</v>
      </c>
      <c r="S51" s="195">
        <v>16679.810000000001</v>
      </c>
      <c r="T51" s="238">
        <v>11668.72</v>
      </c>
      <c r="U51" s="347">
        <v>9203.57</v>
      </c>
      <c r="V51" s="212">
        <v>9433.1299999999992</v>
      </c>
      <c r="W51" s="217">
        <v>11526.71</v>
      </c>
      <c r="X51" s="220">
        <v>13506.08</v>
      </c>
      <c r="Y51" s="304">
        <v>12321.37</v>
      </c>
      <c r="Z51" s="172">
        <v>12445.46</v>
      </c>
      <c r="AA51" s="8">
        <f t="shared" si="4"/>
        <v>200987.97999999995</v>
      </c>
      <c r="AC51" s="31"/>
      <c r="AE51" s="321">
        <f t="shared" si="7"/>
        <v>0</v>
      </c>
      <c r="AF51" s="321">
        <f t="shared" si="7"/>
        <v>0</v>
      </c>
      <c r="AG51" s="321">
        <f t="shared" si="7"/>
        <v>0</v>
      </c>
      <c r="AH51" s="321">
        <f t="shared" si="7"/>
        <v>0</v>
      </c>
      <c r="AI51" s="321">
        <f t="shared" si="7"/>
        <v>0</v>
      </c>
      <c r="AJ51" s="321">
        <f t="shared" si="7"/>
        <v>0</v>
      </c>
      <c r="AK51" s="321">
        <f t="shared" si="7"/>
        <v>0</v>
      </c>
      <c r="AL51" s="321">
        <f t="shared" si="7"/>
        <v>0</v>
      </c>
      <c r="AM51" s="321">
        <f t="shared" si="7"/>
        <v>11526.71</v>
      </c>
      <c r="AN51" s="321">
        <f t="shared" si="7"/>
        <v>0</v>
      </c>
      <c r="AO51" s="321">
        <f t="shared" si="7"/>
        <v>0</v>
      </c>
      <c r="AP51" s="321">
        <f t="shared" si="7"/>
        <v>0</v>
      </c>
      <c r="AQ51" s="321">
        <f t="shared" si="7"/>
        <v>0</v>
      </c>
      <c r="AR51" s="70">
        <f t="shared" si="8"/>
        <v>11526.71</v>
      </c>
    </row>
    <row r="52" spans="1:44" ht="10.5">
      <c r="A52" s="1" t="s">
        <v>658</v>
      </c>
      <c r="B52" s="4">
        <v>15034969</v>
      </c>
      <c r="C52" s="1" t="s">
        <v>732</v>
      </c>
      <c r="D52" s="1" t="s">
        <v>667</v>
      </c>
      <c r="E52" s="7">
        <v>2016</v>
      </c>
      <c r="G52" s="1" t="s">
        <v>771</v>
      </c>
      <c r="H52" s="7">
        <v>88</v>
      </c>
      <c r="I52" s="7">
        <v>1</v>
      </c>
      <c r="J52" s="1" t="s">
        <v>751</v>
      </c>
      <c r="K52" s="1" t="s">
        <v>772</v>
      </c>
      <c r="L52" s="1" t="s">
        <v>745</v>
      </c>
      <c r="M52" s="333" t="s">
        <v>744</v>
      </c>
      <c r="N52" s="332">
        <v>40503</v>
      </c>
      <c r="O52" s="181">
        <v>22374</v>
      </c>
      <c r="P52" s="184">
        <v>20690</v>
      </c>
      <c r="Q52" s="229">
        <v>23403</v>
      </c>
      <c r="R52" s="192">
        <v>27350</v>
      </c>
      <c r="S52" s="195">
        <v>17628</v>
      </c>
      <c r="T52" s="238">
        <v>11739</v>
      </c>
      <c r="U52" s="347">
        <v>14178</v>
      </c>
      <c r="V52" s="217">
        <v>15487</v>
      </c>
      <c r="W52" s="217">
        <v>22171</v>
      </c>
      <c r="X52" s="220">
        <v>23505</v>
      </c>
      <c r="Y52" s="304">
        <v>23615</v>
      </c>
      <c r="Z52" s="172">
        <v>22248</v>
      </c>
      <c r="AA52" s="8">
        <f t="shared" si="4"/>
        <v>244388</v>
      </c>
      <c r="AC52" s="31"/>
      <c r="AE52" s="321">
        <f t="shared" si="7"/>
        <v>0</v>
      </c>
      <c r="AF52" s="321">
        <f t="shared" si="7"/>
        <v>0</v>
      </c>
      <c r="AG52" s="321">
        <f t="shared" si="7"/>
        <v>0</v>
      </c>
      <c r="AH52" s="321">
        <f t="shared" si="7"/>
        <v>0</v>
      </c>
      <c r="AI52" s="321">
        <f t="shared" si="7"/>
        <v>0</v>
      </c>
      <c r="AJ52" s="321">
        <f t="shared" si="7"/>
        <v>0</v>
      </c>
      <c r="AK52" s="321">
        <f t="shared" si="7"/>
        <v>22171</v>
      </c>
      <c r="AL52" s="321">
        <f t="shared" si="7"/>
        <v>0</v>
      </c>
      <c r="AM52" s="321">
        <f t="shared" si="7"/>
        <v>0</v>
      </c>
      <c r="AN52" s="321">
        <f t="shared" si="7"/>
        <v>0</v>
      </c>
      <c r="AO52" s="321">
        <f t="shared" si="7"/>
        <v>0</v>
      </c>
      <c r="AP52" s="321">
        <f t="shared" si="7"/>
        <v>0</v>
      </c>
      <c r="AQ52" s="321">
        <f t="shared" si="7"/>
        <v>0</v>
      </c>
      <c r="AR52" s="70">
        <f t="shared" si="8"/>
        <v>22171</v>
      </c>
    </row>
    <row r="53" spans="1:44" ht="10.5">
      <c r="A53" s="1" t="s">
        <v>970</v>
      </c>
      <c r="B53" s="4">
        <v>15063101</v>
      </c>
      <c r="D53" s="1" t="s">
        <v>886</v>
      </c>
      <c r="O53" s="32"/>
      <c r="P53" s="238">
        <v>181.65</v>
      </c>
      <c r="Q53" s="238">
        <v>187.85</v>
      </c>
      <c r="R53" s="32"/>
      <c r="S53" s="32"/>
      <c r="T53" s="32"/>
      <c r="U53" s="32"/>
      <c r="V53" s="32"/>
      <c r="W53" s="32"/>
      <c r="X53" s="32"/>
      <c r="Y53" s="32"/>
      <c r="Z53" s="32"/>
      <c r="AA53" s="8">
        <f t="shared" si="4"/>
        <v>369.5</v>
      </c>
      <c r="AC53" s="31"/>
      <c r="AE53" s="321">
        <f t="shared" si="7"/>
        <v>0</v>
      </c>
      <c r="AF53" s="321">
        <f t="shared" si="7"/>
        <v>0</v>
      </c>
      <c r="AG53" s="321">
        <f t="shared" si="7"/>
        <v>0</v>
      </c>
      <c r="AH53" s="321">
        <f t="shared" si="7"/>
        <v>0</v>
      </c>
      <c r="AI53" s="321">
        <f t="shared" si="7"/>
        <v>0</v>
      </c>
      <c r="AJ53" s="321">
        <f t="shared" si="7"/>
        <v>0</v>
      </c>
      <c r="AK53" s="321">
        <f t="shared" si="7"/>
        <v>0</v>
      </c>
      <c r="AL53" s="321">
        <f t="shared" si="7"/>
        <v>0</v>
      </c>
      <c r="AM53" s="321">
        <f t="shared" si="7"/>
        <v>0</v>
      </c>
      <c r="AN53" s="321">
        <f t="shared" si="7"/>
        <v>0</v>
      </c>
      <c r="AO53" s="321">
        <f t="shared" si="7"/>
        <v>0</v>
      </c>
      <c r="AP53" s="321">
        <f t="shared" si="7"/>
        <v>0</v>
      </c>
      <c r="AQ53" s="321">
        <f t="shared" si="7"/>
        <v>0</v>
      </c>
      <c r="AR53" s="70">
        <f t="shared" si="8"/>
        <v>0</v>
      </c>
    </row>
    <row r="54" spans="1:44" ht="10.5">
      <c r="A54" s="1" t="s">
        <v>970</v>
      </c>
      <c r="B54" s="4">
        <v>15053151</v>
      </c>
      <c r="C54" s="1" t="s">
        <v>714</v>
      </c>
      <c r="D54" s="1" t="s">
        <v>714</v>
      </c>
      <c r="O54" s="181">
        <v>175.81</v>
      </c>
      <c r="P54" s="184">
        <v>425.1</v>
      </c>
      <c r="Q54" s="229">
        <v>316.45</v>
      </c>
      <c r="R54" s="192">
        <v>391.12</v>
      </c>
      <c r="S54" s="195">
        <v>129.04</v>
      </c>
      <c r="T54" s="238">
        <v>28.33</v>
      </c>
      <c r="U54" s="347">
        <v>258.75</v>
      </c>
      <c r="V54" s="212">
        <v>427.56</v>
      </c>
      <c r="W54" s="217">
        <v>181.18</v>
      </c>
      <c r="X54" s="220">
        <v>249.03</v>
      </c>
      <c r="Y54" s="304">
        <v>543.98</v>
      </c>
      <c r="Z54" s="172">
        <v>196.89</v>
      </c>
      <c r="AA54" s="8">
        <f t="shared" si="4"/>
        <v>3323.24</v>
      </c>
      <c r="AC54" s="31"/>
      <c r="AE54" s="321">
        <f t="shared" si="7"/>
        <v>0</v>
      </c>
      <c r="AF54" s="321">
        <f t="shared" si="7"/>
        <v>0</v>
      </c>
      <c r="AG54" s="321">
        <f t="shared" si="7"/>
        <v>0</v>
      </c>
      <c r="AH54" s="321">
        <f t="shared" si="7"/>
        <v>0</v>
      </c>
      <c r="AI54" s="321">
        <f t="shared" si="7"/>
        <v>0</v>
      </c>
      <c r="AJ54" s="321">
        <f t="shared" si="7"/>
        <v>0</v>
      </c>
      <c r="AK54" s="321">
        <f t="shared" si="7"/>
        <v>0</v>
      </c>
      <c r="AL54" s="321">
        <f t="shared" si="7"/>
        <v>0</v>
      </c>
      <c r="AM54" s="321">
        <f t="shared" si="7"/>
        <v>0</v>
      </c>
      <c r="AN54" s="321">
        <f t="shared" si="7"/>
        <v>0</v>
      </c>
      <c r="AO54" s="321">
        <f t="shared" si="7"/>
        <v>0</v>
      </c>
      <c r="AP54" s="321">
        <f t="shared" si="7"/>
        <v>0</v>
      </c>
      <c r="AQ54" s="321">
        <f t="shared" si="7"/>
        <v>181.18</v>
      </c>
      <c r="AR54" s="70">
        <f t="shared" si="8"/>
        <v>181.18</v>
      </c>
    </row>
    <row r="55" spans="1:44" ht="10.5">
      <c r="A55" s="1" t="s">
        <v>970</v>
      </c>
      <c r="B55" s="4">
        <v>15058508</v>
      </c>
      <c r="C55" s="1" t="s">
        <v>730</v>
      </c>
      <c r="D55" s="1" t="s">
        <v>730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8">
        <f t="shared" si="4"/>
        <v>0</v>
      </c>
      <c r="AC55" s="31"/>
      <c r="AE55" s="321">
        <f t="shared" si="7"/>
        <v>0</v>
      </c>
      <c r="AF55" s="321">
        <f t="shared" si="7"/>
        <v>0</v>
      </c>
      <c r="AG55" s="321">
        <f t="shared" si="7"/>
        <v>0</v>
      </c>
      <c r="AH55" s="321">
        <f t="shared" si="7"/>
        <v>0</v>
      </c>
      <c r="AI55" s="321">
        <f t="shared" si="7"/>
        <v>0</v>
      </c>
      <c r="AJ55" s="321">
        <f t="shared" si="7"/>
        <v>0</v>
      </c>
      <c r="AK55" s="321">
        <f t="shared" si="7"/>
        <v>0</v>
      </c>
      <c r="AL55" s="321">
        <f t="shared" si="7"/>
        <v>0</v>
      </c>
      <c r="AM55" s="321">
        <f t="shared" ref="AF55:AQ76" si="9">+IF($A55=AM$2,$W55,0)</f>
        <v>0</v>
      </c>
      <c r="AN55" s="321">
        <f t="shared" si="9"/>
        <v>0</v>
      </c>
      <c r="AO55" s="321">
        <f t="shared" si="9"/>
        <v>0</v>
      </c>
      <c r="AP55" s="321">
        <f t="shared" si="9"/>
        <v>0</v>
      </c>
      <c r="AQ55" s="321">
        <f t="shared" si="9"/>
        <v>0</v>
      </c>
      <c r="AR55" s="70">
        <f t="shared" si="8"/>
        <v>0</v>
      </c>
    </row>
    <row r="56" spans="1:44" ht="10.5">
      <c r="A56" s="1" t="s">
        <v>531</v>
      </c>
      <c r="B56" s="4">
        <v>7003500</v>
      </c>
      <c r="C56" s="1" t="s">
        <v>350</v>
      </c>
      <c r="D56" s="1" t="s">
        <v>350</v>
      </c>
      <c r="E56" s="7">
        <v>1982</v>
      </c>
      <c r="F56" s="7">
        <v>136</v>
      </c>
      <c r="G56" s="1" t="s">
        <v>769</v>
      </c>
      <c r="H56" s="7">
        <v>366</v>
      </c>
      <c r="I56" s="7">
        <v>20</v>
      </c>
      <c r="J56" s="1" t="s">
        <v>751</v>
      </c>
      <c r="K56" s="1" t="s">
        <v>770</v>
      </c>
      <c r="L56" s="1" t="s">
        <v>745</v>
      </c>
      <c r="M56" s="333" t="s">
        <v>744</v>
      </c>
      <c r="N56" s="332">
        <v>40507</v>
      </c>
      <c r="O56" s="181">
        <v>94307.15</v>
      </c>
      <c r="P56" s="184">
        <v>93022.64</v>
      </c>
      <c r="Q56" s="229">
        <v>104314.13</v>
      </c>
      <c r="R56" s="192">
        <v>133636.07</v>
      </c>
      <c r="S56" s="195">
        <v>80231.16</v>
      </c>
      <c r="T56" s="238">
        <v>57191.57</v>
      </c>
      <c r="U56" s="347">
        <v>58108.38</v>
      </c>
      <c r="V56" s="212">
        <v>70299.929999999993</v>
      </c>
      <c r="W56" s="217">
        <v>99580.99</v>
      </c>
      <c r="X56" s="220">
        <v>122110.24</v>
      </c>
      <c r="Y56" s="304">
        <v>117521.34</v>
      </c>
      <c r="Z56" s="172">
        <v>101809.18</v>
      </c>
      <c r="AA56" s="8">
        <f t="shared" si="4"/>
        <v>1132132.78</v>
      </c>
      <c r="AC56" s="31"/>
      <c r="AE56" s="321">
        <f t="shared" ref="AE56:AE119" si="10">+IF($A56=AE$2,$W56,0)</f>
        <v>0</v>
      </c>
      <c r="AF56" s="321">
        <f t="shared" si="9"/>
        <v>0</v>
      </c>
      <c r="AG56" s="321">
        <f t="shared" si="9"/>
        <v>0</v>
      </c>
      <c r="AH56" s="321">
        <f t="shared" si="9"/>
        <v>99580.99</v>
      </c>
      <c r="AI56" s="321">
        <f t="shared" si="9"/>
        <v>0</v>
      </c>
      <c r="AJ56" s="321">
        <f t="shared" si="9"/>
        <v>0</v>
      </c>
      <c r="AK56" s="321">
        <f t="shared" si="9"/>
        <v>0</v>
      </c>
      <c r="AL56" s="321">
        <f t="shared" si="9"/>
        <v>0</v>
      </c>
      <c r="AM56" s="321">
        <f t="shared" si="9"/>
        <v>0</v>
      </c>
      <c r="AN56" s="321">
        <f t="shared" si="9"/>
        <v>0</v>
      </c>
      <c r="AO56" s="321">
        <f t="shared" si="9"/>
        <v>0</v>
      </c>
      <c r="AP56" s="321">
        <f t="shared" si="9"/>
        <v>0</v>
      </c>
      <c r="AQ56" s="321">
        <f t="shared" si="9"/>
        <v>0</v>
      </c>
      <c r="AR56" s="70">
        <f t="shared" si="8"/>
        <v>99580.99</v>
      </c>
    </row>
    <row r="57" spans="1:44" ht="10.5">
      <c r="A57" s="1" t="s">
        <v>530</v>
      </c>
      <c r="B57" s="4">
        <v>15031776</v>
      </c>
      <c r="C57" s="1" t="s">
        <v>517</v>
      </c>
      <c r="D57" s="1" t="s">
        <v>247</v>
      </c>
      <c r="E57" s="338">
        <v>36251</v>
      </c>
      <c r="G57" s="1" t="s">
        <v>799</v>
      </c>
      <c r="H57" s="7">
        <v>100</v>
      </c>
      <c r="I57" s="7">
        <v>1</v>
      </c>
      <c r="J57" s="1" t="s">
        <v>751</v>
      </c>
      <c r="K57" s="1" t="s">
        <v>420</v>
      </c>
      <c r="L57" s="1" t="s">
        <v>745</v>
      </c>
      <c r="M57" s="333" t="s">
        <v>744</v>
      </c>
      <c r="N57" s="332">
        <v>40509</v>
      </c>
      <c r="O57" s="181">
        <v>24898.81</v>
      </c>
      <c r="P57" s="184">
        <v>20967.349999999999</v>
      </c>
      <c r="Q57" s="192">
        <v>22955.93</v>
      </c>
      <c r="R57" s="192">
        <v>31333.64</v>
      </c>
      <c r="S57" s="195">
        <v>17562.240000000002</v>
      </c>
      <c r="T57" s="238">
        <v>9431.27</v>
      </c>
      <c r="U57" s="347">
        <v>12190.66</v>
      </c>
      <c r="V57" s="212">
        <v>14282.17</v>
      </c>
      <c r="W57" s="217">
        <v>21287.54</v>
      </c>
      <c r="X57" s="220">
        <v>29519.17</v>
      </c>
      <c r="Y57" s="304">
        <v>23353.74</v>
      </c>
      <c r="Z57" s="172">
        <v>20025.86</v>
      </c>
      <c r="AA57" s="8">
        <f t="shared" si="4"/>
        <v>247808.38</v>
      </c>
      <c r="AC57" s="31"/>
      <c r="AE57" s="321">
        <f t="shared" si="10"/>
        <v>0</v>
      </c>
      <c r="AF57" s="321">
        <f t="shared" si="9"/>
        <v>0</v>
      </c>
      <c r="AG57" s="321">
        <f t="shared" si="9"/>
        <v>0</v>
      </c>
      <c r="AH57" s="321">
        <f t="shared" si="9"/>
        <v>0</v>
      </c>
      <c r="AI57" s="321">
        <f t="shared" si="9"/>
        <v>21287.54</v>
      </c>
      <c r="AJ57" s="321">
        <f t="shared" si="9"/>
        <v>0</v>
      </c>
      <c r="AK57" s="321">
        <f t="shared" si="9"/>
        <v>0</v>
      </c>
      <c r="AL57" s="321">
        <f t="shared" si="9"/>
        <v>0</v>
      </c>
      <c r="AM57" s="321">
        <f t="shared" si="9"/>
        <v>0</v>
      </c>
      <c r="AN57" s="321">
        <f t="shared" si="9"/>
        <v>0</v>
      </c>
      <c r="AO57" s="321">
        <f t="shared" si="9"/>
        <v>0</v>
      </c>
      <c r="AP57" s="321">
        <f t="shared" si="9"/>
        <v>0</v>
      </c>
      <c r="AQ57" s="321">
        <f t="shared" si="9"/>
        <v>0</v>
      </c>
      <c r="AR57" s="70">
        <f t="shared" si="8"/>
        <v>21287.54</v>
      </c>
    </row>
    <row r="58" spans="1:44" ht="10.5">
      <c r="A58" s="1" t="s">
        <v>658</v>
      </c>
      <c r="B58" s="4">
        <v>15054166</v>
      </c>
      <c r="C58" s="1" t="s">
        <v>671</v>
      </c>
      <c r="D58" s="1" t="s">
        <v>670</v>
      </c>
      <c r="E58" s="338">
        <v>31990</v>
      </c>
      <c r="G58" s="1" t="s">
        <v>768</v>
      </c>
      <c r="H58" s="7">
        <v>174</v>
      </c>
      <c r="I58" s="7">
        <v>4</v>
      </c>
      <c r="J58" s="1" t="s">
        <v>751</v>
      </c>
      <c r="K58" s="1" t="s">
        <v>421</v>
      </c>
      <c r="L58" s="1" t="s">
        <v>745</v>
      </c>
      <c r="M58" s="333" t="s">
        <v>744</v>
      </c>
      <c r="N58" s="332">
        <v>40503</v>
      </c>
      <c r="O58" s="181">
        <v>51518.52</v>
      </c>
      <c r="P58" s="184">
        <v>48872.15</v>
      </c>
      <c r="Q58" s="229">
        <v>52340.59</v>
      </c>
      <c r="R58" s="192">
        <v>63952.959999999999</v>
      </c>
      <c r="S58" s="195">
        <v>49596.56</v>
      </c>
      <c r="T58" s="238">
        <v>35352.339999999997</v>
      </c>
      <c r="U58" s="347">
        <v>37009.49</v>
      </c>
      <c r="V58" s="212">
        <v>36453.99</v>
      </c>
      <c r="W58" s="217">
        <v>46799.57</v>
      </c>
      <c r="X58" s="220">
        <v>59697.22</v>
      </c>
      <c r="Y58" s="318">
        <v>62239.13</v>
      </c>
      <c r="Z58" s="172">
        <v>53344.79</v>
      </c>
      <c r="AA58" s="8">
        <f t="shared" si="4"/>
        <v>597177.31000000006</v>
      </c>
      <c r="AC58" s="31"/>
      <c r="AE58" s="321">
        <f t="shared" si="10"/>
        <v>0</v>
      </c>
      <c r="AF58" s="321">
        <f t="shared" si="9"/>
        <v>0</v>
      </c>
      <c r="AG58" s="321">
        <f t="shared" si="9"/>
        <v>0</v>
      </c>
      <c r="AH58" s="321">
        <f t="shared" si="9"/>
        <v>0</v>
      </c>
      <c r="AI58" s="321">
        <f t="shared" si="9"/>
        <v>0</v>
      </c>
      <c r="AJ58" s="321">
        <f t="shared" si="9"/>
        <v>0</v>
      </c>
      <c r="AK58" s="321">
        <f t="shared" si="9"/>
        <v>46799.57</v>
      </c>
      <c r="AL58" s="321">
        <f t="shared" si="9"/>
        <v>0</v>
      </c>
      <c r="AM58" s="321">
        <f t="shared" si="9"/>
        <v>0</v>
      </c>
      <c r="AN58" s="321">
        <f t="shared" si="9"/>
        <v>0</v>
      </c>
      <c r="AO58" s="321">
        <f t="shared" si="9"/>
        <v>0</v>
      </c>
      <c r="AP58" s="321">
        <f t="shared" si="9"/>
        <v>0</v>
      </c>
      <c r="AQ58" s="321">
        <f t="shared" si="9"/>
        <v>0</v>
      </c>
      <c r="AR58" s="70">
        <f t="shared" si="8"/>
        <v>46799.57</v>
      </c>
    </row>
    <row r="59" spans="1:44" ht="10.5">
      <c r="A59" s="1" t="s">
        <v>705</v>
      </c>
      <c r="B59" s="4">
        <v>15006999</v>
      </c>
      <c r="C59" s="1" t="s">
        <v>527</v>
      </c>
      <c r="D59" s="1" t="s">
        <v>622</v>
      </c>
      <c r="E59" s="338">
        <v>39630</v>
      </c>
      <c r="G59" s="1" t="s">
        <v>803</v>
      </c>
      <c r="H59" s="7">
        <v>78</v>
      </c>
      <c r="I59" s="7">
        <v>2</v>
      </c>
      <c r="J59" s="1" t="s">
        <v>753</v>
      </c>
      <c r="K59" s="1" t="s">
        <v>399</v>
      </c>
      <c r="L59" s="1" t="s">
        <v>745</v>
      </c>
      <c r="M59" s="333" t="s">
        <v>744</v>
      </c>
      <c r="N59" s="332">
        <v>40511</v>
      </c>
      <c r="O59" s="181">
        <v>20293.32</v>
      </c>
      <c r="P59" s="184">
        <v>18590.68</v>
      </c>
      <c r="Q59" s="229">
        <v>19360.46</v>
      </c>
      <c r="R59" s="192">
        <v>24929.77</v>
      </c>
      <c r="S59" s="195">
        <v>17280.98</v>
      </c>
      <c r="T59" s="238">
        <v>10788.97</v>
      </c>
      <c r="U59" s="347">
        <v>10534.67</v>
      </c>
      <c r="V59" s="212">
        <v>13501.47</v>
      </c>
      <c r="W59" s="217">
        <v>19037.21</v>
      </c>
      <c r="X59" s="220">
        <v>22009.03</v>
      </c>
      <c r="Y59" s="304">
        <v>19165.14</v>
      </c>
      <c r="Z59" s="172">
        <v>18694.47</v>
      </c>
      <c r="AA59" s="8">
        <f t="shared" si="4"/>
        <v>214186.16999999995</v>
      </c>
      <c r="AC59" s="31"/>
      <c r="AE59" s="321">
        <f t="shared" si="10"/>
        <v>0</v>
      </c>
      <c r="AF59" s="321">
        <f t="shared" si="9"/>
        <v>0</v>
      </c>
      <c r="AG59" s="321">
        <f t="shared" si="9"/>
        <v>0</v>
      </c>
      <c r="AH59" s="321">
        <f t="shared" si="9"/>
        <v>0</v>
      </c>
      <c r="AI59" s="321">
        <f t="shared" si="9"/>
        <v>0</v>
      </c>
      <c r="AJ59" s="321">
        <f t="shared" si="9"/>
        <v>0</v>
      </c>
      <c r="AK59" s="321">
        <f t="shared" si="9"/>
        <v>0</v>
      </c>
      <c r="AL59" s="321">
        <f t="shared" si="9"/>
        <v>0</v>
      </c>
      <c r="AM59" s="321">
        <f t="shared" si="9"/>
        <v>0</v>
      </c>
      <c r="AN59" s="321">
        <f t="shared" si="9"/>
        <v>0</v>
      </c>
      <c r="AO59" s="321">
        <f t="shared" si="9"/>
        <v>19037.21</v>
      </c>
      <c r="AP59" s="321">
        <f t="shared" si="9"/>
        <v>0</v>
      </c>
      <c r="AQ59" s="321">
        <f t="shared" si="9"/>
        <v>0</v>
      </c>
      <c r="AR59" s="70">
        <f t="shared" si="8"/>
        <v>19037.21</v>
      </c>
    </row>
    <row r="60" spans="1:44" ht="10.5">
      <c r="A60" s="1" t="s">
        <v>664</v>
      </c>
      <c r="B60" s="4">
        <v>7009500</v>
      </c>
      <c r="C60" s="1" t="s">
        <v>515</v>
      </c>
      <c r="D60" s="1" t="s">
        <v>515</v>
      </c>
      <c r="E60" s="338">
        <v>38322</v>
      </c>
      <c r="G60" s="1" t="s">
        <v>802</v>
      </c>
      <c r="H60" s="7">
        <v>96</v>
      </c>
      <c r="I60" s="7">
        <v>1</v>
      </c>
      <c r="J60" s="1" t="s">
        <v>753</v>
      </c>
      <c r="K60" s="1" t="s">
        <v>398</v>
      </c>
      <c r="L60" s="1" t="s">
        <v>745</v>
      </c>
      <c r="M60" s="333" t="s">
        <v>744</v>
      </c>
      <c r="N60" s="332">
        <v>40504</v>
      </c>
      <c r="O60" s="181">
        <v>26353.53</v>
      </c>
      <c r="P60" s="184">
        <v>24381.279999999999</v>
      </c>
      <c r="Q60" s="229">
        <v>27022.85</v>
      </c>
      <c r="R60" s="192">
        <v>31210.63</v>
      </c>
      <c r="S60" s="195">
        <v>23274.959999999999</v>
      </c>
      <c r="T60" s="238">
        <v>17111.04</v>
      </c>
      <c r="U60" s="347">
        <v>19849.87</v>
      </c>
      <c r="V60" s="212">
        <v>21205.040000000001</v>
      </c>
      <c r="W60" s="217">
        <v>23563.61</v>
      </c>
      <c r="X60" s="220">
        <v>26101.59</v>
      </c>
      <c r="Y60" s="304">
        <v>27519.01</v>
      </c>
      <c r="Z60" s="172">
        <v>26672.240000000002</v>
      </c>
      <c r="AA60" s="8">
        <f t="shared" si="4"/>
        <v>294265.64999999997</v>
      </c>
      <c r="AC60" s="31"/>
      <c r="AE60" s="321">
        <f t="shared" si="10"/>
        <v>0</v>
      </c>
      <c r="AF60" s="321">
        <f t="shared" si="9"/>
        <v>0</v>
      </c>
      <c r="AG60" s="321">
        <f t="shared" si="9"/>
        <v>0</v>
      </c>
      <c r="AH60" s="321">
        <f t="shared" si="9"/>
        <v>0</v>
      </c>
      <c r="AI60" s="321">
        <f t="shared" si="9"/>
        <v>0</v>
      </c>
      <c r="AJ60" s="321">
        <f t="shared" si="9"/>
        <v>0</v>
      </c>
      <c r="AK60" s="321">
        <f t="shared" si="9"/>
        <v>0</v>
      </c>
      <c r="AL60" s="321">
        <f t="shared" si="9"/>
        <v>0</v>
      </c>
      <c r="AM60" s="321">
        <f t="shared" si="9"/>
        <v>0</v>
      </c>
      <c r="AN60" s="321">
        <f t="shared" si="9"/>
        <v>23563.61</v>
      </c>
      <c r="AO60" s="321">
        <f t="shared" si="9"/>
        <v>0</v>
      </c>
      <c r="AP60" s="321">
        <f t="shared" si="9"/>
        <v>0</v>
      </c>
      <c r="AQ60" s="321">
        <f t="shared" si="9"/>
        <v>0</v>
      </c>
      <c r="AR60" s="70">
        <f t="shared" si="8"/>
        <v>23563.61</v>
      </c>
    </row>
    <row r="61" spans="1:44" ht="10.5">
      <c r="A61" s="1" t="s">
        <v>659</v>
      </c>
      <c r="B61" s="42">
        <v>15037963</v>
      </c>
      <c r="C61" s="11" t="s">
        <v>606</v>
      </c>
      <c r="D61" s="11" t="s">
        <v>605</v>
      </c>
      <c r="E61" s="7">
        <v>2015</v>
      </c>
      <c r="F61" s="340"/>
      <c r="G61" s="1" t="s">
        <v>801</v>
      </c>
      <c r="H61" s="7">
        <v>82</v>
      </c>
      <c r="I61" s="7">
        <v>1</v>
      </c>
      <c r="J61" s="1" t="s">
        <v>753</v>
      </c>
      <c r="K61" s="1" t="s">
        <v>800</v>
      </c>
      <c r="L61" s="1" t="s">
        <v>745</v>
      </c>
      <c r="M61" s="333" t="s">
        <v>744</v>
      </c>
      <c r="N61" s="332">
        <v>40505</v>
      </c>
      <c r="O61" s="184">
        <v>19780.419999999998</v>
      </c>
      <c r="P61" s="184">
        <v>15892.14</v>
      </c>
      <c r="Q61" s="229">
        <v>16405.689999999999</v>
      </c>
      <c r="R61" s="192">
        <v>21379.18</v>
      </c>
      <c r="S61" s="238">
        <v>13944.14</v>
      </c>
      <c r="T61" s="238">
        <v>10178.129999999999</v>
      </c>
      <c r="U61" s="347">
        <v>10598.51</v>
      </c>
      <c r="V61" s="212">
        <v>11601.44</v>
      </c>
      <c r="W61" s="217">
        <v>17352.224999999999</v>
      </c>
      <c r="X61" s="220">
        <v>18137.900000000001</v>
      </c>
      <c r="Y61" s="304">
        <v>17228.990000000002</v>
      </c>
      <c r="Z61" s="172">
        <v>16793.77</v>
      </c>
      <c r="AA61" s="8">
        <f t="shared" si="4"/>
        <v>189292.53499999997</v>
      </c>
      <c r="AC61" s="31"/>
      <c r="AE61" s="321">
        <f t="shared" si="10"/>
        <v>0</v>
      </c>
      <c r="AF61" s="321">
        <f t="shared" si="9"/>
        <v>0</v>
      </c>
      <c r="AG61" s="321">
        <f t="shared" si="9"/>
        <v>0</v>
      </c>
      <c r="AH61" s="321">
        <f t="shared" si="9"/>
        <v>0</v>
      </c>
      <c r="AI61" s="321">
        <f t="shared" si="9"/>
        <v>0</v>
      </c>
      <c r="AJ61" s="321">
        <f t="shared" si="9"/>
        <v>0</v>
      </c>
      <c r="AK61" s="321">
        <f t="shared" si="9"/>
        <v>0</v>
      </c>
      <c r="AL61" s="321">
        <f t="shared" si="9"/>
        <v>0</v>
      </c>
      <c r="AM61" s="321">
        <f t="shared" si="9"/>
        <v>17352.224999999999</v>
      </c>
      <c r="AN61" s="321">
        <f t="shared" si="9"/>
        <v>0</v>
      </c>
      <c r="AO61" s="321">
        <f t="shared" si="9"/>
        <v>0</v>
      </c>
      <c r="AP61" s="321">
        <f t="shared" si="9"/>
        <v>0</v>
      </c>
      <c r="AQ61" s="321">
        <f t="shared" si="9"/>
        <v>0</v>
      </c>
      <c r="AR61" s="70">
        <f t="shared" si="8"/>
        <v>17352.224999999999</v>
      </c>
    </row>
    <row r="62" spans="1:44" ht="10.5">
      <c r="A62" s="1" t="s">
        <v>530</v>
      </c>
      <c r="B62" s="42">
        <v>15061297</v>
      </c>
      <c r="C62" s="11"/>
      <c r="D62" s="11" t="s">
        <v>854</v>
      </c>
      <c r="E62" s="7"/>
      <c r="F62" s="340"/>
      <c r="H62" s="7"/>
      <c r="I62" s="7"/>
      <c r="M62" s="333"/>
      <c r="N62" s="332"/>
      <c r="O62" s="181">
        <v>19712.330000000002</v>
      </c>
      <c r="P62" s="184">
        <v>14104.16</v>
      </c>
      <c r="Q62" s="229">
        <v>19398.25</v>
      </c>
      <c r="R62" s="192">
        <v>27425.17</v>
      </c>
      <c r="S62" s="195">
        <v>18113.88</v>
      </c>
      <c r="T62" s="238">
        <v>10416.24</v>
      </c>
      <c r="U62" s="347">
        <v>9873.27</v>
      </c>
      <c r="V62" s="212">
        <v>12125.1</v>
      </c>
      <c r="W62" s="217">
        <v>19552.16</v>
      </c>
      <c r="X62" s="220">
        <v>23013.88</v>
      </c>
      <c r="Y62" s="304">
        <v>23279.45</v>
      </c>
      <c r="Z62" s="172">
        <v>22444.05</v>
      </c>
      <c r="AA62" s="8">
        <f t="shared" si="4"/>
        <v>219457.94000000003</v>
      </c>
      <c r="AC62" s="31"/>
      <c r="AE62" s="321">
        <f t="shared" si="10"/>
        <v>0</v>
      </c>
      <c r="AF62" s="321">
        <f t="shared" si="9"/>
        <v>0</v>
      </c>
      <c r="AG62" s="321">
        <f t="shared" si="9"/>
        <v>0</v>
      </c>
      <c r="AH62" s="321">
        <f t="shared" si="9"/>
        <v>0</v>
      </c>
      <c r="AI62" s="321">
        <f t="shared" si="9"/>
        <v>19552.16</v>
      </c>
      <c r="AJ62" s="321">
        <f t="shared" si="9"/>
        <v>0</v>
      </c>
      <c r="AK62" s="321">
        <f t="shared" si="9"/>
        <v>0</v>
      </c>
      <c r="AL62" s="321">
        <f t="shared" si="9"/>
        <v>0</v>
      </c>
      <c r="AM62" s="321">
        <f t="shared" si="9"/>
        <v>0</v>
      </c>
      <c r="AN62" s="321">
        <f t="shared" si="9"/>
        <v>0</v>
      </c>
      <c r="AO62" s="321">
        <f t="shared" si="9"/>
        <v>0</v>
      </c>
      <c r="AP62" s="321">
        <f t="shared" si="9"/>
        <v>0</v>
      </c>
      <c r="AQ62" s="321">
        <f t="shared" si="9"/>
        <v>0</v>
      </c>
      <c r="AR62" s="70">
        <f t="shared" si="8"/>
        <v>19552.16</v>
      </c>
    </row>
    <row r="63" spans="1:44" ht="10.5">
      <c r="A63" s="1" t="s">
        <v>658</v>
      </c>
      <c r="B63" s="4">
        <v>15058010</v>
      </c>
      <c r="C63" s="1" t="s">
        <v>715</v>
      </c>
      <c r="D63" s="1" t="s">
        <v>601</v>
      </c>
      <c r="E63" s="7">
        <v>2015</v>
      </c>
      <c r="F63" s="340"/>
      <c r="G63" s="1" t="s">
        <v>805</v>
      </c>
      <c r="H63" s="7">
        <v>103</v>
      </c>
      <c r="I63" s="7"/>
      <c r="J63" s="1" t="s">
        <v>751</v>
      </c>
      <c r="K63" s="1" t="s">
        <v>804</v>
      </c>
      <c r="L63" s="1" t="s">
        <v>745</v>
      </c>
      <c r="M63" s="333" t="s">
        <v>744</v>
      </c>
      <c r="N63" s="332">
        <v>40503</v>
      </c>
      <c r="O63" s="181">
        <v>25412.36</v>
      </c>
      <c r="P63" s="184">
        <v>23597.99</v>
      </c>
      <c r="Q63" s="229">
        <v>24974.17</v>
      </c>
      <c r="R63" s="195">
        <v>31903.86</v>
      </c>
      <c r="S63" s="195">
        <v>22561.96</v>
      </c>
      <c r="T63" s="238">
        <v>14527.08</v>
      </c>
      <c r="U63" s="347">
        <v>16194.88</v>
      </c>
      <c r="V63" s="212">
        <v>18265.560000000001</v>
      </c>
      <c r="W63" s="217">
        <v>25049.1</v>
      </c>
      <c r="X63" s="220">
        <v>29565.47</v>
      </c>
      <c r="Y63" s="304">
        <v>29060.53</v>
      </c>
      <c r="Z63" s="172">
        <v>24353.18</v>
      </c>
      <c r="AA63" s="8">
        <f t="shared" si="4"/>
        <v>285466.14</v>
      </c>
      <c r="AC63" s="31"/>
      <c r="AE63" s="321">
        <f t="shared" si="10"/>
        <v>0</v>
      </c>
      <c r="AF63" s="321">
        <f t="shared" si="9"/>
        <v>0</v>
      </c>
      <c r="AG63" s="321">
        <f t="shared" si="9"/>
        <v>0</v>
      </c>
      <c r="AH63" s="321">
        <f t="shared" si="9"/>
        <v>0</v>
      </c>
      <c r="AI63" s="321">
        <f t="shared" si="9"/>
        <v>0</v>
      </c>
      <c r="AJ63" s="321">
        <f t="shared" si="9"/>
        <v>0</v>
      </c>
      <c r="AK63" s="321">
        <f t="shared" si="9"/>
        <v>25049.1</v>
      </c>
      <c r="AL63" s="321">
        <f t="shared" si="9"/>
        <v>0</v>
      </c>
      <c r="AM63" s="321">
        <f t="shared" si="9"/>
        <v>0</v>
      </c>
      <c r="AN63" s="321">
        <f t="shared" si="9"/>
        <v>0</v>
      </c>
      <c r="AO63" s="321">
        <f t="shared" si="9"/>
        <v>0</v>
      </c>
      <c r="AP63" s="321">
        <f t="shared" si="9"/>
        <v>0</v>
      </c>
      <c r="AQ63" s="321">
        <f t="shared" si="9"/>
        <v>0</v>
      </c>
      <c r="AR63" s="70">
        <f t="shared" si="8"/>
        <v>25049.1</v>
      </c>
    </row>
    <row r="64" spans="1:44" ht="10.5">
      <c r="A64" s="1" t="s">
        <v>705</v>
      </c>
      <c r="B64" s="4">
        <v>15055279</v>
      </c>
      <c r="C64" s="1" t="s">
        <v>708</v>
      </c>
      <c r="D64" s="1" t="s">
        <v>708</v>
      </c>
      <c r="O64" s="195">
        <v>392.69</v>
      </c>
      <c r="P64" s="195">
        <v>1016.47</v>
      </c>
      <c r="Q64" s="195">
        <v>393.11</v>
      </c>
      <c r="R64" s="32"/>
      <c r="S64" s="195">
        <v>223.13</v>
      </c>
      <c r="T64" s="32"/>
      <c r="U64" s="32"/>
      <c r="V64" s="32"/>
      <c r="W64" s="32"/>
      <c r="X64" s="32"/>
      <c r="Y64" s="32"/>
      <c r="Z64" s="32"/>
      <c r="AA64" s="8">
        <f t="shared" si="4"/>
        <v>2025.4</v>
      </c>
      <c r="AC64" s="31"/>
      <c r="AE64" s="321">
        <f t="shared" si="10"/>
        <v>0</v>
      </c>
      <c r="AF64" s="321">
        <f t="shared" si="9"/>
        <v>0</v>
      </c>
      <c r="AG64" s="321">
        <f t="shared" si="9"/>
        <v>0</v>
      </c>
      <c r="AH64" s="321">
        <f t="shared" si="9"/>
        <v>0</v>
      </c>
      <c r="AI64" s="321">
        <f t="shared" si="9"/>
        <v>0</v>
      </c>
      <c r="AJ64" s="321">
        <f t="shared" si="9"/>
        <v>0</v>
      </c>
      <c r="AK64" s="321">
        <f t="shared" si="9"/>
        <v>0</v>
      </c>
      <c r="AL64" s="321">
        <f t="shared" si="9"/>
        <v>0</v>
      </c>
      <c r="AM64" s="321">
        <f t="shared" si="9"/>
        <v>0</v>
      </c>
      <c r="AN64" s="321">
        <f t="shared" si="9"/>
        <v>0</v>
      </c>
      <c r="AO64" s="321">
        <f t="shared" si="9"/>
        <v>0</v>
      </c>
      <c r="AP64" s="321">
        <f t="shared" si="9"/>
        <v>0</v>
      </c>
      <c r="AQ64" s="321">
        <f t="shared" si="9"/>
        <v>0</v>
      </c>
      <c r="AR64" s="70">
        <f t="shared" si="8"/>
        <v>0</v>
      </c>
    </row>
    <row r="65" spans="1:44" ht="10.5">
      <c r="A65" s="1" t="s">
        <v>658</v>
      </c>
      <c r="B65" s="4">
        <v>7009200</v>
      </c>
      <c r="C65" s="1" t="s">
        <v>516</v>
      </c>
      <c r="D65" s="1" t="s">
        <v>516</v>
      </c>
      <c r="E65" s="7"/>
      <c r="F65" s="7">
        <v>569</v>
      </c>
      <c r="G65" s="1" t="s">
        <v>773</v>
      </c>
      <c r="H65" s="7">
        <v>91</v>
      </c>
      <c r="I65" s="7">
        <v>1</v>
      </c>
      <c r="J65" s="1" t="s">
        <v>751</v>
      </c>
      <c r="K65" s="1" t="s">
        <v>774</v>
      </c>
      <c r="L65" s="1" t="s">
        <v>745</v>
      </c>
      <c r="M65" s="333" t="s">
        <v>744</v>
      </c>
      <c r="N65" s="332">
        <v>40503</v>
      </c>
      <c r="O65" s="181">
        <v>22364.14</v>
      </c>
      <c r="P65" s="184">
        <v>20287.830000000002</v>
      </c>
      <c r="Q65" s="229">
        <v>21544.44</v>
      </c>
      <c r="R65" s="192">
        <v>25925.16</v>
      </c>
      <c r="S65" s="195">
        <v>18695.36</v>
      </c>
      <c r="T65" s="238">
        <v>13683.75</v>
      </c>
      <c r="U65" s="347">
        <v>13600.42</v>
      </c>
      <c r="V65" s="212">
        <v>17463.89</v>
      </c>
      <c r="W65" s="217">
        <v>23660.27</v>
      </c>
      <c r="X65" s="220">
        <v>27933.91</v>
      </c>
      <c r="Y65" s="304">
        <v>26285.7</v>
      </c>
      <c r="Z65" s="172">
        <v>24107.11</v>
      </c>
      <c r="AA65" s="8">
        <f t="shared" si="4"/>
        <v>255551.97999999998</v>
      </c>
      <c r="AC65" s="31"/>
      <c r="AE65" s="321">
        <f t="shared" si="10"/>
        <v>0</v>
      </c>
      <c r="AF65" s="321">
        <f t="shared" si="9"/>
        <v>0</v>
      </c>
      <c r="AG65" s="321">
        <f t="shared" si="9"/>
        <v>0</v>
      </c>
      <c r="AH65" s="321">
        <f t="shared" si="9"/>
        <v>0</v>
      </c>
      <c r="AI65" s="321">
        <f t="shared" si="9"/>
        <v>0</v>
      </c>
      <c r="AJ65" s="321">
        <f t="shared" si="9"/>
        <v>0</v>
      </c>
      <c r="AK65" s="321">
        <f t="shared" si="9"/>
        <v>23660.27</v>
      </c>
      <c r="AL65" s="321">
        <f t="shared" si="9"/>
        <v>0</v>
      </c>
      <c r="AM65" s="321">
        <f t="shared" si="9"/>
        <v>0</v>
      </c>
      <c r="AN65" s="321">
        <f t="shared" si="9"/>
        <v>0</v>
      </c>
      <c r="AO65" s="321">
        <f t="shared" si="9"/>
        <v>0</v>
      </c>
      <c r="AP65" s="321">
        <f t="shared" si="9"/>
        <v>0</v>
      </c>
      <c r="AQ65" s="321">
        <f t="shared" si="9"/>
        <v>0</v>
      </c>
      <c r="AR65" s="70">
        <f t="shared" si="8"/>
        <v>23660.27</v>
      </c>
    </row>
    <row r="66" spans="1:44" ht="10.5">
      <c r="A66" s="1" t="s">
        <v>530</v>
      </c>
      <c r="B66" s="4">
        <v>15037322</v>
      </c>
      <c r="C66" s="1" t="s">
        <v>646</v>
      </c>
      <c r="D66" s="1" t="s">
        <v>623</v>
      </c>
      <c r="E66" s="7">
        <v>2006</v>
      </c>
      <c r="G66" s="1" t="s">
        <v>775</v>
      </c>
      <c r="H66" s="7">
        <v>91</v>
      </c>
      <c r="I66" s="7">
        <v>1</v>
      </c>
      <c r="J66" s="1" t="s">
        <v>751</v>
      </c>
      <c r="K66" s="1" t="s">
        <v>423</v>
      </c>
      <c r="L66" s="1" t="s">
        <v>745</v>
      </c>
      <c r="M66" s="333" t="s">
        <v>744</v>
      </c>
      <c r="N66" s="332">
        <v>40509</v>
      </c>
      <c r="O66" s="181">
        <v>24501.06</v>
      </c>
      <c r="P66" s="184">
        <v>23046.84</v>
      </c>
      <c r="Q66" s="192">
        <v>22626.7</v>
      </c>
      <c r="R66" s="192">
        <v>26395.41</v>
      </c>
      <c r="S66" s="195">
        <v>19165.689999999999</v>
      </c>
      <c r="T66" s="238">
        <v>14154.74</v>
      </c>
      <c r="U66" s="347">
        <v>16780.78</v>
      </c>
      <c r="V66" s="212">
        <v>17462.830000000002</v>
      </c>
      <c r="W66" s="217">
        <v>23477.61</v>
      </c>
      <c r="X66" s="220">
        <v>26158.48</v>
      </c>
      <c r="Y66" s="304">
        <v>24833.31</v>
      </c>
      <c r="Z66" s="172">
        <v>23495.93</v>
      </c>
      <c r="AA66" s="8">
        <f t="shared" si="4"/>
        <v>262099.38000000003</v>
      </c>
      <c r="AC66" s="31"/>
      <c r="AE66" s="321">
        <f t="shared" si="10"/>
        <v>0</v>
      </c>
      <c r="AF66" s="321">
        <f t="shared" si="9"/>
        <v>0</v>
      </c>
      <c r="AG66" s="321">
        <f t="shared" si="9"/>
        <v>0</v>
      </c>
      <c r="AH66" s="321">
        <f t="shared" si="9"/>
        <v>0</v>
      </c>
      <c r="AI66" s="321">
        <f t="shared" si="9"/>
        <v>23477.61</v>
      </c>
      <c r="AJ66" s="321">
        <f t="shared" si="9"/>
        <v>0</v>
      </c>
      <c r="AK66" s="321">
        <f t="shared" si="9"/>
        <v>0</v>
      </c>
      <c r="AL66" s="321">
        <f t="shared" si="9"/>
        <v>0</v>
      </c>
      <c r="AM66" s="321">
        <f t="shared" si="9"/>
        <v>0</v>
      </c>
      <c r="AN66" s="321">
        <f t="shared" si="9"/>
        <v>0</v>
      </c>
      <c r="AO66" s="321">
        <f t="shared" si="9"/>
        <v>0</v>
      </c>
      <c r="AP66" s="321">
        <f t="shared" si="9"/>
        <v>0</v>
      </c>
      <c r="AQ66" s="321">
        <f t="shared" si="9"/>
        <v>0</v>
      </c>
      <c r="AR66" s="70">
        <f t="shared" si="8"/>
        <v>23477.61</v>
      </c>
    </row>
    <row r="67" spans="1:44" ht="10.5">
      <c r="A67" s="1" t="s">
        <v>659</v>
      </c>
      <c r="B67" s="4">
        <v>15030829</v>
      </c>
      <c r="C67" s="1" t="s">
        <v>734</v>
      </c>
      <c r="D67" s="1" t="s">
        <v>529</v>
      </c>
      <c r="E67" s="338">
        <v>32721</v>
      </c>
      <c r="G67" s="1" t="s">
        <v>529</v>
      </c>
      <c r="H67" s="7">
        <v>110</v>
      </c>
      <c r="I67" s="7">
        <v>1</v>
      </c>
      <c r="J67" s="1" t="s">
        <v>776</v>
      </c>
      <c r="K67" s="1" t="s">
        <v>777</v>
      </c>
      <c r="L67" s="1" t="s">
        <v>745</v>
      </c>
      <c r="M67" s="333" t="s">
        <v>744</v>
      </c>
      <c r="N67" s="332">
        <v>40505</v>
      </c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8">
        <f t="shared" si="4"/>
        <v>0</v>
      </c>
      <c r="AC67" s="31"/>
      <c r="AE67" s="321">
        <f t="shared" si="10"/>
        <v>0</v>
      </c>
      <c r="AF67" s="321">
        <f t="shared" si="9"/>
        <v>0</v>
      </c>
      <c r="AG67" s="321">
        <f t="shared" si="9"/>
        <v>0</v>
      </c>
      <c r="AH67" s="321">
        <f t="shared" si="9"/>
        <v>0</v>
      </c>
      <c r="AI67" s="321">
        <f t="shared" si="9"/>
        <v>0</v>
      </c>
      <c r="AJ67" s="321">
        <f t="shared" si="9"/>
        <v>0</v>
      </c>
      <c r="AK67" s="321">
        <f t="shared" si="9"/>
        <v>0</v>
      </c>
      <c r="AL67" s="321">
        <f t="shared" si="9"/>
        <v>0</v>
      </c>
      <c r="AM67" s="321">
        <f t="shared" si="9"/>
        <v>0</v>
      </c>
      <c r="AN67" s="321">
        <f t="shared" si="9"/>
        <v>0</v>
      </c>
      <c r="AO67" s="321">
        <f t="shared" si="9"/>
        <v>0</v>
      </c>
      <c r="AP67" s="321">
        <f t="shared" si="9"/>
        <v>0</v>
      </c>
      <c r="AQ67" s="321">
        <f t="shared" si="9"/>
        <v>0</v>
      </c>
      <c r="AR67" s="70">
        <f t="shared" si="8"/>
        <v>0</v>
      </c>
    </row>
    <row r="68" spans="1:44" ht="10.5">
      <c r="A68" s="1" t="s">
        <v>530</v>
      </c>
      <c r="B68" s="4">
        <v>15062439</v>
      </c>
      <c r="C68" s="1" t="s">
        <v>604</v>
      </c>
      <c r="D68" s="1" t="s">
        <v>325</v>
      </c>
      <c r="E68" s="7">
        <v>2008</v>
      </c>
      <c r="G68" s="1" t="s">
        <v>325</v>
      </c>
      <c r="H68" s="7">
        <v>127</v>
      </c>
      <c r="I68" s="7">
        <v>2</v>
      </c>
      <c r="J68" s="1" t="s">
        <v>778</v>
      </c>
      <c r="K68" s="1" t="s">
        <v>779</v>
      </c>
      <c r="L68" s="1" t="s">
        <v>745</v>
      </c>
      <c r="M68" s="333" t="s">
        <v>744</v>
      </c>
      <c r="N68" s="332">
        <v>40509</v>
      </c>
      <c r="O68" s="181">
        <v>31413.29</v>
      </c>
      <c r="P68" s="184">
        <v>26907.51</v>
      </c>
      <c r="Q68" s="192">
        <v>27501.75</v>
      </c>
      <c r="R68" s="192">
        <v>32928.85</v>
      </c>
      <c r="S68" s="195">
        <v>21454.31</v>
      </c>
      <c r="T68" s="238">
        <v>16927.439999999999</v>
      </c>
      <c r="U68" s="347">
        <v>12118.96</v>
      </c>
      <c r="V68" s="212">
        <v>17218.689999999999</v>
      </c>
      <c r="W68" s="217">
        <v>28409.11</v>
      </c>
      <c r="X68" s="220">
        <v>32597.82</v>
      </c>
      <c r="Y68" s="304">
        <v>29082.47</v>
      </c>
      <c r="Z68" s="172">
        <v>24752.23</v>
      </c>
      <c r="AA68" s="8">
        <f t="shared" ref="AA68:AA127" si="11">+SUM(O68:Z68)</f>
        <v>301312.42999999993</v>
      </c>
      <c r="AC68" s="31"/>
      <c r="AE68" s="321">
        <f t="shared" si="10"/>
        <v>0</v>
      </c>
      <c r="AF68" s="321">
        <f t="shared" si="9"/>
        <v>0</v>
      </c>
      <c r="AG68" s="321">
        <f t="shared" si="9"/>
        <v>0</v>
      </c>
      <c r="AH68" s="321">
        <f t="shared" si="9"/>
        <v>0</v>
      </c>
      <c r="AI68" s="321">
        <f t="shared" si="9"/>
        <v>28409.11</v>
      </c>
      <c r="AJ68" s="321">
        <f t="shared" si="9"/>
        <v>0</v>
      </c>
      <c r="AK68" s="321">
        <f t="shared" si="9"/>
        <v>0</v>
      </c>
      <c r="AL68" s="321">
        <f t="shared" si="9"/>
        <v>0</v>
      </c>
      <c r="AM68" s="321">
        <f t="shared" si="9"/>
        <v>0</v>
      </c>
      <c r="AN68" s="321">
        <f t="shared" si="9"/>
        <v>0</v>
      </c>
      <c r="AO68" s="321">
        <f t="shared" si="9"/>
        <v>0</v>
      </c>
      <c r="AP68" s="321">
        <f t="shared" si="9"/>
        <v>0</v>
      </c>
      <c r="AQ68" s="321">
        <f t="shared" si="9"/>
        <v>0</v>
      </c>
      <c r="AR68" s="70">
        <f t="shared" si="8"/>
        <v>28409.11</v>
      </c>
    </row>
    <row r="69" spans="1:44" ht="10.5">
      <c r="A69" s="1" t="s">
        <v>531</v>
      </c>
      <c r="B69" s="4">
        <v>15035829</v>
      </c>
      <c r="C69" s="1" t="s">
        <v>567</v>
      </c>
      <c r="D69" s="1" t="s">
        <v>253</v>
      </c>
      <c r="E69" s="7">
        <v>1977</v>
      </c>
      <c r="G69" s="1" t="s">
        <v>780</v>
      </c>
      <c r="H69" s="7">
        <v>366</v>
      </c>
      <c r="I69" s="7">
        <v>19</v>
      </c>
      <c r="J69" s="1" t="s">
        <v>778</v>
      </c>
      <c r="K69" s="1" t="s">
        <v>781</v>
      </c>
      <c r="L69" s="1" t="s">
        <v>745</v>
      </c>
      <c r="M69" s="333" t="s">
        <v>744</v>
      </c>
      <c r="N69" s="332">
        <v>40507</v>
      </c>
      <c r="O69" s="181">
        <v>84586.49</v>
      </c>
      <c r="P69" s="184">
        <v>81040.47</v>
      </c>
      <c r="Q69" s="229">
        <v>99685.92</v>
      </c>
      <c r="R69" s="192">
        <v>124632.41</v>
      </c>
      <c r="S69" s="195">
        <v>77237.039999999994</v>
      </c>
      <c r="T69" s="238">
        <v>57273.03</v>
      </c>
      <c r="U69" s="347">
        <v>62759.56</v>
      </c>
      <c r="V69" s="212">
        <v>74114.679999999993</v>
      </c>
      <c r="W69" s="217">
        <v>96445.89</v>
      </c>
      <c r="X69" s="220">
        <v>105094.5</v>
      </c>
      <c r="Y69" s="304">
        <v>108268.59</v>
      </c>
      <c r="Z69" s="172">
        <v>74104.600000000006</v>
      </c>
      <c r="AA69" s="8">
        <f t="shared" si="11"/>
        <v>1045243.1799999998</v>
      </c>
      <c r="AC69" s="31"/>
      <c r="AE69" s="321">
        <f t="shared" si="10"/>
        <v>0</v>
      </c>
      <c r="AF69" s="321">
        <f t="shared" si="9"/>
        <v>0</v>
      </c>
      <c r="AG69" s="321">
        <f t="shared" si="9"/>
        <v>0</v>
      </c>
      <c r="AH69" s="321">
        <f t="shared" si="9"/>
        <v>96445.89</v>
      </c>
      <c r="AI69" s="321">
        <f t="shared" si="9"/>
        <v>0</v>
      </c>
      <c r="AJ69" s="321">
        <f t="shared" si="9"/>
        <v>0</v>
      </c>
      <c r="AK69" s="321">
        <f t="shared" si="9"/>
        <v>0</v>
      </c>
      <c r="AL69" s="321">
        <f t="shared" si="9"/>
        <v>0</v>
      </c>
      <c r="AM69" s="321">
        <f t="shared" si="9"/>
        <v>0</v>
      </c>
      <c r="AN69" s="321">
        <f t="shared" si="9"/>
        <v>0</v>
      </c>
      <c r="AO69" s="321">
        <f t="shared" si="9"/>
        <v>0</v>
      </c>
      <c r="AP69" s="321">
        <f t="shared" si="9"/>
        <v>0</v>
      </c>
      <c r="AQ69" s="321">
        <f t="shared" si="9"/>
        <v>0</v>
      </c>
      <c r="AR69" s="70">
        <f t="shared" si="8"/>
        <v>96445.89</v>
      </c>
    </row>
    <row r="70" spans="1:44" ht="10.5">
      <c r="A70" s="1" t="s">
        <v>664</v>
      </c>
      <c r="B70" s="4">
        <v>15060954</v>
      </c>
      <c r="C70" s="1" t="s">
        <v>528</v>
      </c>
      <c r="D70" s="1" t="s">
        <v>498</v>
      </c>
      <c r="E70" s="7">
        <v>2005</v>
      </c>
      <c r="F70" s="7">
        <v>132</v>
      </c>
      <c r="G70" s="1" t="s">
        <v>498</v>
      </c>
      <c r="H70" s="7">
        <v>62</v>
      </c>
      <c r="I70" s="7">
        <v>1</v>
      </c>
      <c r="K70" s="1" t="s">
        <v>455</v>
      </c>
      <c r="L70" s="1" t="s">
        <v>745</v>
      </c>
      <c r="M70" s="333" t="s">
        <v>744</v>
      </c>
      <c r="N70" s="332">
        <v>40504</v>
      </c>
      <c r="O70" s="181">
        <v>8250.73</v>
      </c>
      <c r="P70" s="184">
        <v>7840.47</v>
      </c>
      <c r="Q70" s="229">
        <v>8477.7199999999993</v>
      </c>
      <c r="R70" s="192">
        <v>8779.75</v>
      </c>
      <c r="S70" s="238">
        <v>5918.35</v>
      </c>
      <c r="T70" s="238">
        <v>3641.64</v>
      </c>
      <c r="U70" s="347">
        <v>4176.1400000000003</v>
      </c>
      <c r="V70" s="212">
        <v>2791.16</v>
      </c>
      <c r="W70" s="217">
        <v>3991.42</v>
      </c>
      <c r="X70" s="220">
        <v>6499.86</v>
      </c>
      <c r="Y70" s="304">
        <v>7248.11</v>
      </c>
      <c r="Z70" s="172">
        <v>5794.09</v>
      </c>
      <c r="AA70" s="8">
        <f t="shared" si="11"/>
        <v>73409.439999999988</v>
      </c>
      <c r="AC70" s="31"/>
      <c r="AE70" s="321">
        <f t="shared" si="10"/>
        <v>0</v>
      </c>
      <c r="AF70" s="321">
        <f t="shared" si="9"/>
        <v>0</v>
      </c>
      <c r="AG70" s="321">
        <f t="shared" si="9"/>
        <v>0</v>
      </c>
      <c r="AH70" s="321">
        <f t="shared" si="9"/>
        <v>0</v>
      </c>
      <c r="AI70" s="321">
        <f t="shared" si="9"/>
        <v>0</v>
      </c>
      <c r="AJ70" s="321">
        <f t="shared" si="9"/>
        <v>0</v>
      </c>
      <c r="AK70" s="321">
        <f t="shared" si="9"/>
        <v>0</v>
      </c>
      <c r="AL70" s="321">
        <f t="shared" si="9"/>
        <v>0</v>
      </c>
      <c r="AM70" s="321">
        <f t="shared" si="9"/>
        <v>0</v>
      </c>
      <c r="AN70" s="321">
        <f t="shared" si="9"/>
        <v>3991.42</v>
      </c>
      <c r="AO70" s="321">
        <f t="shared" si="9"/>
        <v>0</v>
      </c>
      <c r="AP70" s="321">
        <f t="shared" si="9"/>
        <v>0</v>
      </c>
      <c r="AQ70" s="321">
        <f t="shared" si="9"/>
        <v>0</v>
      </c>
      <c r="AR70" s="70">
        <f t="shared" si="8"/>
        <v>3991.42</v>
      </c>
    </row>
    <row r="71" spans="1:44" ht="10.5">
      <c r="A71" s="1" t="s">
        <v>970</v>
      </c>
      <c r="B71" s="4">
        <v>15063095</v>
      </c>
      <c r="D71" s="1" t="s">
        <v>881</v>
      </c>
      <c r="O71" s="238">
        <v>199.25</v>
      </c>
      <c r="P71" s="238">
        <v>209.69</v>
      </c>
      <c r="Q71" s="238">
        <v>173.06</v>
      </c>
      <c r="R71" s="347">
        <v>498.82</v>
      </c>
      <c r="S71" s="347">
        <v>210.38</v>
      </c>
      <c r="T71" s="32"/>
      <c r="U71" s="220">
        <v>50.15</v>
      </c>
      <c r="V71" s="32"/>
      <c r="W71" s="32"/>
      <c r="X71" s="32"/>
      <c r="Y71" s="32"/>
      <c r="Z71" s="32"/>
      <c r="AA71" s="8">
        <f t="shared" si="11"/>
        <v>1341.35</v>
      </c>
      <c r="AC71" s="31"/>
      <c r="AE71" s="321">
        <f t="shared" si="10"/>
        <v>0</v>
      </c>
      <c r="AF71" s="321">
        <f t="shared" si="9"/>
        <v>0</v>
      </c>
      <c r="AG71" s="321">
        <f t="shared" si="9"/>
        <v>0</v>
      </c>
      <c r="AH71" s="321">
        <f t="shared" si="9"/>
        <v>0</v>
      </c>
      <c r="AI71" s="321">
        <f t="shared" si="9"/>
        <v>0</v>
      </c>
      <c r="AJ71" s="321">
        <f t="shared" si="9"/>
        <v>0</v>
      </c>
      <c r="AK71" s="321">
        <f t="shared" si="9"/>
        <v>0</v>
      </c>
      <c r="AL71" s="321">
        <f t="shared" si="9"/>
        <v>0</v>
      </c>
      <c r="AM71" s="321">
        <f t="shared" si="9"/>
        <v>0</v>
      </c>
      <c r="AN71" s="321">
        <f t="shared" si="9"/>
        <v>0</v>
      </c>
      <c r="AO71" s="321">
        <f t="shared" si="9"/>
        <v>0</v>
      </c>
      <c r="AP71" s="321">
        <f t="shared" si="9"/>
        <v>0</v>
      </c>
      <c r="AQ71" s="321">
        <f t="shared" si="9"/>
        <v>0</v>
      </c>
      <c r="AR71" s="70">
        <f t="shared" si="8"/>
        <v>0</v>
      </c>
    </row>
    <row r="72" spans="1:44" ht="10.5">
      <c r="A72" s="1" t="s">
        <v>970</v>
      </c>
      <c r="B72" s="42">
        <v>15058872</v>
      </c>
      <c r="C72" s="11" t="s">
        <v>831</v>
      </c>
      <c r="D72" s="11" t="s">
        <v>832</v>
      </c>
      <c r="E72" s="11"/>
      <c r="F72" s="340"/>
      <c r="G72" s="11"/>
      <c r="H72" s="11"/>
      <c r="I72" s="11"/>
      <c r="J72" s="11"/>
      <c r="K72" s="11"/>
      <c r="L72" s="11"/>
      <c r="M72" s="11"/>
      <c r="N72" s="11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8">
        <f t="shared" si="11"/>
        <v>0</v>
      </c>
      <c r="AC72" s="31"/>
      <c r="AE72" s="321">
        <f t="shared" si="10"/>
        <v>0</v>
      </c>
      <c r="AF72" s="321">
        <f t="shared" si="9"/>
        <v>0</v>
      </c>
      <c r="AG72" s="321">
        <f t="shared" si="9"/>
        <v>0</v>
      </c>
      <c r="AH72" s="321">
        <f t="shared" si="9"/>
        <v>0</v>
      </c>
      <c r="AI72" s="321">
        <f t="shared" si="9"/>
        <v>0</v>
      </c>
      <c r="AJ72" s="321">
        <f t="shared" si="9"/>
        <v>0</v>
      </c>
      <c r="AK72" s="321">
        <f t="shared" si="9"/>
        <v>0</v>
      </c>
      <c r="AL72" s="321">
        <f t="shared" si="9"/>
        <v>0</v>
      </c>
      <c r="AM72" s="321">
        <f t="shared" si="9"/>
        <v>0</v>
      </c>
      <c r="AN72" s="321">
        <f t="shared" si="9"/>
        <v>0</v>
      </c>
      <c r="AO72" s="321">
        <f t="shared" si="9"/>
        <v>0</v>
      </c>
      <c r="AP72" s="321">
        <f t="shared" si="9"/>
        <v>0</v>
      </c>
      <c r="AQ72" s="321">
        <f t="shared" si="9"/>
        <v>0</v>
      </c>
      <c r="AR72" s="70">
        <f t="shared" si="8"/>
        <v>0</v>
      </c>
    </row>
    <row r="73" spans="1:44" ht="10.5">
      <c r="A73" s="1" t="s">
        <v>535</v>
      </c>
      <c r="B73" s="4">
        <v>7002600</v>
      </c>
      <c r="C73" s="1" t="s">
        <v>655</v>
      </c>
      <c r="D73" s="1" t="s">
        <v>806</v>
      </c>
      <c r="E73" s="338">
        <v>30042</v>
      </c>
      <c r="G73" s="1" t="s">
        <v>808</v>
      </c>
      <c r="H73" s="7">
        <v>129</v>
      </c>
      <c r="I73" s="7">
        <v>0</v>
      </c>
      <c r="K73" s="1" t="s">
        <v>807</v>
      </c>
      <c r="L73" s="1" t="s">
        <v>745</v>
      </c>
      <c r="M73" s="333" t="s">
        <v>744</v>
      </c>
      <c r="N73" s="332">
        <v>40511</v>
      </c>
      <c r="O73" s="181">
        <v>17881.27</v>
      </c>
      <c r="P73" s="184">
        <v>14862.6</v>
      </c>
      <c r="Q73" s="229">
        <v>14752.96</v>
      </c>
      <c r="R73" s="192">
        <v>16863.27</v>
      </c>
      <c r="S73" s="195">
        <v>8753.9699999999993</v>
      </c>
      <c r="T73" s="238">
        <v>5383.93</v>
      </c>
      <c r="U73" s="347">
        <v>4978.84</v>
      </c>
      <c r="V73" s="212">
        <v>5121.57</v>
      </c>
      <c r="W73" s="217">
        <v>8751.4599999999991</v>
      </c>
      <c r="X73" s="220">
        <v>12483.63</v>
      </c>
      <c r="Y73" s="304">
        <v>15314.82</v>
      </c>
      <c r="Z73" s="172">
        <v>11970.6</v>
      </c>
      <c r="AA73" s="8">
        <f t="shared" si="11"/>
        <v>137118.92000000001</v>
      </c>
      <c r="AC73" s="31"/>
      <c r="AE73" s="321">
        <f t="shared" si="10"/>
        <v>0</v>
      </c>
      <c r="AF73" s="321">
        <f t="shared" si="9"/>
        <v>0</v>
      </c>
      <c r="AG73" s="321">
        <f t="shared" si="9"/>
        <v>0</v>
      </c>
      <c r="AH73" s="321">
        <f t="shared" si="9"/>
        <v>0</v>
      </c>
      <c r="AI73" s="321">
        <f t="shared" si="9"/>
        <v>0</v>
      </c>
      <c r="AJ73" s="321">
        <f t="shared" si="9"/>
        <v>8751.4599999999991</v>
      </c>
      <c r="AK73" s="321">
        <f t="shared" si="9"/>
        <v>0</v>
      </c>
      <c r="AL73" s="321">
        <f t="shared" si="9"/>
        <v>0</v>
      </c>
      <c r="AM73" s="321">
        <f t="shared" si="9"/>
        <v>0</v>
      </c>
      <c r="AN73" s="321">
        <f t="shared" si="9"/>
        <v>0</v>
      </c>
      <c r="AO73" s="321">
        <f t="shared" si="9"/>
        <v>0</v>
      </c>
      <c r="AP73" s="321">
        <f t="shared" si="9"/>
        <v>0</v>
      </c>
      <c r="AQ73" s="321">
        <f t="shared" si="9"/>
        <v>0</v>
      </c>
      <c r="AR73" s="70">
        <f t="shared" si="8"/>
        <v>8751.4599999999991</v>
      </c>
    </row>
    <row r="74" spans="1:44" ht="10.5">
      <c r="A74" s="1" t="s">
        <v>533</v>
      </c>
      <c r="B74" s="4">
        <v>7008200</v>
      </c>
      <c r="C74" s="1" t="s">
        <v>347</v>
      </c>
      <c r="D74" s="1" t="s">
        <v>347</v>
      </c>
      <c r="E74" s="338">
        <v>36281</v>
      </c>
      <c r="G74" s="1" t="s">
        <v>782</v>
      </c>
      <c r="H74" s="7">
        <v>72</v>
      </c>
      <c r="I74" s="7">
        <v>1</v>
      </c>
      <c r="K74" s="1" t="s">
        <v>428</v>
      </c>
      <c r="L74" s="1" t="s">
        <v>745</v>
      </c>
      <c r="M74" s="333" t="s">
        <v>744</v>
      </c>
      <c r="N74" s="332">
        <v>40509</v>
      </c>
      <c r="O74" s="181">
        <v>14082.88</v>
      </c>
      <c r="P74" s="184">
        <v>12813.41</v>
      </c>
      <c r="Q74" s="229">
        <v>12870.81</v>
      </c>
      <c r="R74" s="347">
        <v>15066.5</v>
      </c>
      <c r="S74" s="195">
        <v>10636.85</v>
      </c>
      <c r="T74" s="238">
        <v>10531.71</v>
      </c>
      <c r="U74" s="347">
        <v>7582.46</v>
      </c>
      <c r="V74" s="212">
        <v>8568.42</v>
      </c>
      <c r="W74" s="217">
        <v>12817.14</v>
      </c>
      <c r="X74" s="220">
        <v>14841.85</v>
      </c>
      <c r="Y74" s="304">
        <v>14746.36</v>
      </c>
      <c r="Z74" s="172">
        <v>13411.27</v>
      </c>
      <c r="AA74" s="8">
        <f t="shared" si="11"/>
        <v>147969.66</v>
      </c>
      <c r="AC74" s="31"/>
      <c r="AE74" s="321">
        <f t="shared" si="10"/>
        <v>0</v>
      </c>
      <c r="AF74" s="321">
        <f t="shared" si="9"/>
        <v>0</v>
      </c>
      <c r="AG74" s="321">
        <f t="shared" si="9"/>
        <v>0</v>
      </c>
      <c r="AH74" s="321">
        <f t="shared" si="9"/>
        <v>0</v>
      </c>
      <c r="AI74" s="321">
        <f t="shared" si="9"/>
        <v>0</v>
      </c>
      <c r="AJ74" s="321">
        <f t="shared" si="9"/>
        <v>0</v>
      </c>
      <c r="AK74" s="321">
        <f t="shared" si="9"/>
        <v>0</v>
      </c>
      <c r="AL74" s="321">
        <f t="shared" si="9"/>
        <v>12817.14</v>
      </c>
      <c r="AM74" s="321">
        <f t="shared" si="9"/>
        <v>0</v>
      </c>
      <c r="AN74" s="321">
        <f t="shared" si="9"/>
        <v>0</v>
      </c>
      <c r="AO74" s="321">
        <f t="shared" si="9"/>
        <v>0</v>
      </c>
      <c r="AP74" s="321">
        <f t="shared" si="9"/>
        <v>0</v>
      </c>
      <c r="AQ74" s="321">
        <f t="shared" si="9"/>
        <v>0</v>
      </c>
      <c r="AR74" s="70">
        <f t="shared" si="8"/>
        <v>12817.14</v>
      </c>
    </row>
    <row r="75" spans="1:44" ht="10.5">
      <c r="A75" s="1" t="s">
        <v>970</v>
      </c>
      <c r="B75" s="42">
        <v>15037548</v>
      </c>
      <c r="C75" s="11" t="s">
        <v>697</v>
      </c>
      <c r="D75" s="11" t="s">
        <v>697</v>
      </c>
      <c r="E75" s="11"/>
      <c r="F75" s="340"/>
      <c r="G75" s="11"/>
      <c r="H75" s="11"/>
      <c r="I75" s="11"/>
      <c r="J75" s="11"/>
      <c r="K75" s="11"/>
      <c r="L75" s="11"/>
      <c r="M75" s="11"/>
      <c r="N75" s="11"/>
      <c r="O75" s="32"/>
      <c r="P75" s="32"/>
      <c r="Q75" s="229">
        <v>256.27</v>
      </c>
      <c r="R75" s="32"/>
      <c r="S75" s="32"/>
      <c r="T75" s="32"/>
      <c r="U75" s="32"/>
      <c r="V75" s="32"/>
      <c r="W75" s="32"/>
      <c r="X75" s="32"/>
      <c r="Y75" s="32"/>
      <c r="Z75" s="32"/>
      <c r="AA75" s="8">
        <f t="shared" si="11"/>
        <v>256.27</v>
      </c>
      <c r="AC75" s="31"/>
      <c r="AE75" s="321">
        <f t="shared" si="10"/>
        <v>0</v>
      </c>
      <c r="AF75" s="321">
        <f t="shared" si="9"/>
        <v>0</v>
      </c>
      <c r="AG75" s="321">
        <f t="shared" si="9"/>
        <v>0</v>
      </c>
      <c r="AH75" s="321">
        <f t="shared" si="9"/>
        <v>0</v>
      </c>
      <c r="AI75" s="321">
        <f t="shared" si="9"/>
        <v>0</v>
      </c>
      <c r="AJ75" s="321">
        <f t="shared" si="9"/>
        <v>0</v>
      </c>
      <c r="AK75" s="321">
        <f t="shared" si="9"/>
        <v>0</v>
      </c>
      <c r="AL75" s="321">
        <f t="shared" si="9"/>
        <v>0</v>
      </c>
      <c r="AM75" s="321">
        <f t="shared" si="9"/>
        <v>0</v>
      </c>
      <c r="AN75" s="321">
        <f t="shared" si="9"/>
        <v>0</v>
      </c>
      <c r="AO75" s="321">
        <f t="shared" si="9"/>
        <v>0</v>
      </c>
      <c r="AP75" s="321">
        <f t="shared" si="9"/>
        <v>0</v>
      </c>
      <c r="AQ75" s="321">
        <f t="shared" si="9"/>
        <v>0</v>
      </c>
      <c r="AR75" s="70">
        <f t="shared" si="8"/>
        <v>0</v>
      </c>
    </row>
    <row r="76" spans="1:44" ht="10.5">
      <c r="A76" s="1" t="s">
        <v>537</v>
      </c>
      <c r="B76" s="4">
        <v>15061966</v>
      </c>
      <c r="C76" s="1" t="s">
        <v>258</v>
      </c>
      <c r="D76" s="1" t="s">
        <v>258</v>
      </c>
      <c r="E76" s="338">
        <v>35977</v>
      </c>
      <c r="G76" s="1" t="s">
        <v>827</v>
      </c>
      <c r="H76" s="7">
        <v>72</v>
      </c>
      <c r="I76" s="7">
        <v>3</v>
      </c>
      <c r="J76" s="1" t="s">
        <v>754</v>
      </c>
      <c r="K76" s="1" t="s">
        <v>458</v>
      </c>
      <c r="L76" s="1" t="s">
        <v>745</v>
      </c>
      <c r="M76" s="333" t="s">
        <v>744</v>
      </c>
      <c r="N76" s="332">
        <v>40513</v>
      </c>
      <c r="O76" s="181">
        <v>17533.68</v>
      </c>
      <c r="P76" s="32"/>
      <c r="Q76" s="229">
        <v>17207.740000000002</v>
      </c>
      <c r="R76" s="192">
        <v>21131.84</v>
      </c>
      <c r="S76" s="136"/>
      <c r="T76" s="136"/>
      <c r="U76" s="136"/>
      <c r="V76" s="136"/>
      <c r="W76" s="136"/>
      <c r="X76" s="136"/>
      <c r="Y76" s="136"/>
      <c r="Z76" s="136"/>
      <c r="AA76" s="8">
        <f t="shared" si="11"/>
        <v>55873.259999999995</v>
      </c>
      <c r="AC76" s="31"/>
      <c r="AE76" s="321">
        <f t="shared" si="10"/>
        <v>0</v>
      </c>
      <c r="AF76" s="321">
        <f t="shared" si="9"/>
        <v>0</v>
      </c>
      <c r="AG76" s="321">
        <f t="shared" si="9"/>
        <v>0</v>
      </c>
      <c r="AH76" s="321">
        <f t="shared" si="9"/>
        <v>0</v>
      </c>
      <c r="AI76" s="321">
        <f t="shared" si="9"/>
        <v>0</v>
      </c>
      <c r="AJ76" s="321">
        <f t="shared" si="9"/>
        <v>0</v>
      </c>
      <c r="AK76" s="321">
        <f t="shared" si="9"/>
        <v>0</v>
      </c>
      <c r="AL76" s="321">
        <f t="shared" si="9"/>
        <v>0</v>
      </c>
      <c r="AM76" s="321">
        <f t="shared" si="9"/>
        <v>0</v>
      </c>
      <c r="AN76" s="321">
        <f t="shared" si="9"/>
        <v>0</v>
      </c>
      <c r="AO76" s="321">
        <f t="shared" si="9"/>
        <v>0</v>
      </c>
      <c r="AP76" s="321">
        <f t="shared" ref="AF76:AQ98" si="12">+IF($A76=AP$2,$W76,0)</f>
        <v>0</v>
      </c>
      <c r="AQ76" s="321">
        <f t="shared" si="12"/>
        <v>0</v>
      </c>
      <c r="AR76" s="70">
        <f t="shared" si="8"/>
        <v>0</v>
      </c>
    </row>
    <row r="77" spans="1:44" ht="10.5">
      <c r="A77" s="1" t="s">
        <v>537</v>
      </c>
      <c r="B77" s="4">
        <v>7006300</v>
      </c>
      <c r="C77" s="1" t="s">
        <v>261</v>
      </c>
      <c r="D77" s="1" t="s">
        <v>261</v>
      </c>
      <c r="E77" s="338">
        <v>34486</v>
      </c>
      <c r="G77" s="1" t="s">
        <v>814</v>
      </c>
      <c r="H77" s="7">
        <v>67</v>
      </c>
      <c r="I77" s="7">
        <v>0</v>
      </c>
      <c r="J77" s="1" t="s">
        <v>751</v>
      </c>
      <c r="K77" s="1" t="s">
        <v>813</v>
      </c>
      <c r="L77" s="1" t="s">
        <v>745</v>
      </c>
      <c r="M77" s="333" t="s">
        <v>744</v>
      </c>
      <c r="N77" s="332">
        <v>40513</v>
      </c>
      <c r="O77" s="32"/>
      <c r="P77" s="184">
        <v>14540.87</v>
      </c>
      <c r="Q77" s="32"/>
      <c r="R77" s="32"/>
      <c r="S77" s="238">
        <v>14990.98</v>
      </c>
      <c r="T77" s="238">
        <v>9735.24</v>
      </c>
      <c r="U77" s="347">
        <v>9394.8700000000008</v>
      </c>
      <c r="V77" s="212">
        <v>11825.84</v>
      </c>
      <c r="W77" s="217">
        <v>15445.52</v>
      </c>
      <c r="X77" s="220">
        <v>20047.189999999999</v>
      </c>
      <c r="Y77" s="304">
        <v>17876.96</v>
      </c>
      <c r="Z77" s="172">
        <v>15404.99</v>
      </c>
      <c r="AA77" s="8">
        <f t="shared" si="11"/>
        <v>129262.46</v>
      </c>
      <c r="AC77" s="31"/>
      <c r="AE77" s="321">
        <f t="shared" si="10"/>
        <v>0</v>
      </c>
      <c r="AF77" s="321">
        <f t="shared" si="12"/>
        <v>15445.52</v>
      </c>
      <c r="AG77" s="321">
        <f t="shared" si="12"/>
        <v>0</v>
      </c>
      <c r="AH77" s="321">
        <f t="shared" si="12"/>
        <v>0</v>
      </c>
      <c r="AI77" s="321">
        <f t="shared" si="12"/>
        <v>0</v>
      </c>
      <c r="AJ77" s="321">
        <f t="shared" si="12"/>
        <v>0</v>
      </c>
      <c r="AK77" s="321">
        <f t="shared" si="12"/>
        <v>0</v>
      </c>
      <c r="AL77" s="321">
        <f t="shared" si="12"/>
        <v>0</v>
      </c>
      <c r="AM77" s="321">
        <f t="shared" si="12"/>
        <v>0</v>
      </c>
      <c r="AN77" s="321">
        <f t="shared" si="12"/>
        <v>0</v>
      </c>
      <c r="AO77" s="321">
        <f t="shared" si="12"/>
        <v>0</v>
      </c>
      <c r="AP77" s="321">
        <f t="shared" si="12"/>
        <v>0</v>
      </c>
      <c r="AQ77" s="321">
        <f t="shared" si="12"/>
        <v>0</v>
      </c>
      <c r="AR77" s="70">
        <f t="shared" si="8"/>
        <v>15445.52</v>
      </c>
    </row>
    <row r="78" spans="1:44" ht="10.5">
      <c r="A78" s="1" t="s">
        <v>659</v>
      </c>
      <c r="B78" s="4">
        <v>7002700</v>
      </c>
      <c r="C78" s="1" t="s">
        <v>262</v>
      </c>
      <c r="D78" s="1" t="s">
        <v>262</v>
      </c>
      <c r="F78" s="7">
        <v>110</v>
      </c>
      <c r="H78" s="1">
        <v>30</v>
      </c>
      <c r="K78" s="1" t="s">
        <v>842</v>
      </c>
      <c r="L78" s="1" t="s">
        <v>745</v>
      </c>
      <c r="M78" s="333" t="s">
        <v>744</v>
      </c>
      <c r="N78" s="1">
        <v>40505</v>
      </c>
      <c r="O78" s="184">
        <v>203.27</v>
      </c>
      <c r="P78" s="184">
        <v>194.26</v>
      </c>
      <c r="Q78" s="229">
        <v>156.68</v>
      </c>
      <c r="R78" s="238">
        <v>163.21</v>
      </c>
      <c r="S78" s="238">
        <v>183.99</v>
      </c>
      <c r="T78" s="238">
        <v>125.02</v>
      </c>
      <c r="U78" s="136"/>
      <c r="V78" s="136"/>
      <c r="W78" s="136"/>
      <c r="X78" s="136"/>
      <c r="Y78" s="136"/>
      <c r="Z78" s="136"/>
      <c r="AA78" s="8">
        <f t="shared" si="11"/>
        <v>1026.43</v>
      </c>
      <c r="AC78" s="31"/>
      <c r="AE78" s="321">
        <f t="shared" si="10"/>
        <v>0</v>
      </c>
      <c r="AF78" s="321">
        <f t="shared" si="12"/>
        <v>0</v>
      </c>
      <c r="AG78" s="321">
        <f t="shared" si="12"/>
        <v>0</v>
      </c>
      <c r="AH78" s="321">
        <f t="shared" si="12"/>
        <v>0</v>
      </c>
      <c r="AI78" s="321">
        <f t="shared" si="12"/>
        <v>0</v>
      </c>
      <c r="AJ78" s="321">
        <f t="shared" si="12"/>
        <v>0</v>
      </c>
      <c r="AK78" s="321">
        <f t="shared" si="12"/>
        <v>0</v>
      </c>
      <c r="AL78" s="321">
        <f t="shared" si="12"/>
        <v>0</v>
      </c>
      <c r="AM78" s="321">
        <f t="shared" si="12"/>
        <v>0</v>
      </c>
      <c r="AN78" s="321">
        <f t="shared" si="12"/>
        <v>0</v>
      </c>
      <c r="AO78" s="321">
        <f t="shared" si="12"/>
        <v>0</v>
      </c>
      <c r="AP78" s="321">
        <f t="shared" si="12"/>
        <v>0</v>
      </c>
      <c r="AQ78" s="321">
        <f t="shared" si="12"/>
        <v>0</v>
      </c>
      <c r="AR78" s="70">
        <f t="shared" si="8"/>
        <v>0</v>
      </c>
    </row>
    <row r="79" spans="1:44" ht="10.5">
      <c r="A79" s="1" t="s">
        <v>533</v>
      </c>
      <c r="B79" s="4">
        <v>7008700</v>
      </c>
      <c r="C79" s="1" t="s">
        <v>109</v>
      </c>
      <c r="D79" s="1" t="s">
        <v>109</v>
      </c>
      <c r="E79" s="7" t="s">
        <v>794</v>
      </c>
      <c r="F79" s="7">
        <v>773</v>
      </c>
      <c r="G79" s="1" t="s">
        <v>795</v>
      </c>
      <c r="H79" s="7">
        <v>200</v>
      </c>
      <c r="I79" s="7"/>
      <c r="K79" s="1" t="s">
        <v>796</v>
      </c>
      <c r="L79" s="1" t="s">
        <v>745</v>
      </c>
      <c r="M79" s="333" t="s">
        <v>744</v>
      </c>
      <c r="N79" s="332">
        <v>40517</v>
      </c>
      <c r="O79" s="181">
        <v>1852.2</v>
      </c>
      <c r="P79" s="184">
        <v>979.23</v>
      </c>
      <c r="Q79" s="229">
        <v>3122.99</v>
      </c>
      <c r="R79" s="192">
        <v>1756.53</v>
      </c>
      <c r="S79" s="195">
        <v>1796.36</v>
      </c>
      <c r="T79" s="238">
        <v>371.2</v>
      </c>
      <c r="U79" s="347">
        <v>472.29</v>
      </c>
      <c r="V79" s="212">
        <v>781.11</v>
      </c>
      <c r="W79" s="217">
        <v>239.72</v>
      </c>
      <c r="X79" s="220">
        <v>1660.43</v>
      </c>
      <c r="Y79" s="304">
        <v>774.38</v>
      </c>
      <c r="Z79" s="172">
        <v>510.44</v>
      </c>
      <c r="AA79" s="8">
        <f t="shared" si="11"/>
        <v>14316.880000000001</v>
      </c>
      <c r="AC79" s="31"/>
      <c r="AE79" s="321">
        <f t="shared" si="10"/>
        <v>0</v>
      </c>
      <c r="AF79" s="321">
        <f t="shared" si="12"/>
        <v>0</v>
      </c>
      <c r="AG79" s="321">
        <f t="shared" si="12"/>
        <v>0</v>
      </c>
      <c r="AH79" s="321">
        <f t="shared" si="12"/>
        <v>0</v>
      </c>
      <c r="AI79" s="321">
        <f t="shared" si="12"/>
        <v>0</v>
      </c>
      <c r="AJ79" s="321">
        <f t="shared" si="12"/>
        <v>0</v>
      </c>
      <c r="AK79" s="321">
        <f t="shared" si="12"/>
        <v>0</v>
      </c>
      <c r="AL79" s="321">
        <f t="shared" si="12"/>
        <v>239.72</v>
      </c>
      <c r="AM79" s="321">
        <f t="shared" si="12"/>
        <v>0</v>
      </c>
      <c r="AN79" s="321">
        <f t="shared" si="12"/>
        <v>0</v>
      </c>
      <c r="AO79" s="321">
        <f t="shared" si="12"/>
        <v>0</v>
      </c>
      <c r="AP79" s="321">
        <f t="shared" si="12"/>
        <v>0</v>
      </c>
      <c r="AQ79" s="321">
        <f t="shared" si="12"/>
        <v>0</v>
      </c>
      <c r="AR79" s="70">
        <f t="shared" si="8"/>
        <v>239.72</v>
      </c>
    </row>
    <row r="80" spans="1:44" ht="10.5">
      <c r="A80" s="1" t="s">
        <v>705</v>
      </c>
      <c r="B80" s="42">
        <v>15052031</v>
      </c>
      <c r="C80" s="11" t="s">
        <v>711</v>
      </c>
      <c r="D80" s="11" t="s">
        <v>711</v>
      </c>
      <c r="E80" s="11"/>
      <c r="F80" s="340"/>
      <c r="G80" s="11"/>
      <c r="H80" s="11"/>
      <c r="I80" s="11"/>
      <c r="J80" s="11"/>
      <c r="K80" s="11"/>
      <c r="L80" s="11"/>
      <c r="M80" s="11"/>
      <c r="N80" s="11"/>
      <c r="O80" s="181">
        <v>140.25</v>
      </c>
      <c r="P80" s="184">
        <v>36.130000000000003</v>
      </c>
      <c r="Q80" s="229">
        <v>152.29</v>
      </c>
      <c r="R80" s="192">
        <f>250.75+129.63</f>
        <v>380.38</v>
      </c>
      <c r="S80" s="32"/>
      <c r="T80" s="32"/>
      <c r="U80" s="32"/>
      <c r="V80" s="32"/>
      <c r="W80" s="32"/>
      <c r="X80" s="32"/>
      <c r="Y80" s="32"/>
      <c r="Z80" s="32"/>
      <c r="AA80" s="8">
        <f t="shared" si="11"/>
        <v>709.05</v>
      </c>
      <c r="AC80" s="31"/>
      <c r="AE80" s="321">
        <f t="shared" si="10"/>
        <v>0</v>
      </c>
      <c r="AF80" s="321">
        <f t="shared" si="12"/>
        <v>0</v>
      </c>
      <c r="AG80" s="321">
        <f t="shared" si="12"/>
        <v>0</v>
      </c>
      <c r="AH80" s="321">
        <f t="shared" si="12"/>
        <v>0</v>
      </c>
      <c r="AI80" s="321">
        <f t="shared" si="12"/>
        <v>0</v>
      </c>
      <c r="AJ80" s="321">
        <f t="shared" si="12"/>
        <v>0</v>
      </c>
      <c r="AK80" s="321">
        <f t="shared" si="12"/>
        <v>0</v>
      </c>
      <c r="AL80" s="321">
        <f t="shared" si="12"/>
        <v>0</v>
      </c>
      <c r="AM80" s="321">
        <f t="shared" si="12"/>
        <v>0</v>
      </c>
      <c r="AN80" s="321">
        <f t="shared" si="12"/>
        <v>0</v>
      </c>
      <c r="AO80" s="321">
        <f t="shared" si="12"/>
        <v>0</v>
      </c>
      <c r="AP80" s="321">
        <f t="shared" si="12"/>
        <v>0</v>
      </c>
      <c r="AQ80" s="321">
        <f t="shared" si="12"/>
        <v>0</v>
      </c>
      <c r="AR80" s="70">
        <f t="shared" si="8"/>
        <v>0</v>
      </c>
    </row>
    <row r="81" spans="1:44" ht="10.5">
      <c r="A81" s="1" t="s">
        <v>970</v>
      </c>
      <c r="B81" s="4">
        <v>7008800</v>
      </c>
      <c r="C81" s="1" t="s">
        <v>88</v>
      </c>
      <c r="D81" s="1" t="s">
        <v>88</v>
      </c>
      <c r="E81" s="7">
        <v>2002</v>
      </c>
      <c r="F81" s="7">
        <v>534</v>
      </c>
      <c r="G81" s="1" t="s">
        <v>793</v>
      </c>
      <c r="H81" s="7">
        <v>7</v>
      </c>
      <c r="I81" s="7">
        <v>0</v>
      </c>
      <c r="K81" s="1" t="s">
        <v>431</v>
      </c>
      <c r="L81" s="1" t="s">
        <v>745</v>
      </c>
      <c r="M81" s="333" t="s">
        <v>744</v>
      </c>
      <c r="N81" s="332">
        <v>40508</v>
      </c>
      <c r="O81" s="181">
        <v>1389.92</v>
      </c>
      <c r="P81" s="184">
        <v>489.13</v>
      </c>
      <c r="Q81" s="229">
        <v>996.37</v>
      </c>
      <c r="R81" s="192">
        <v>1878.5</v>
      </c>
      <c r="S81" s="195">
        <v>656</v>
      </c>
      <c r="T81" s="238">
        <v>423.45</v>
      </c>
      <c r="U81" s="347">
        <v>204.61</v>
      </c>
      <c r="V81" s="212">
        <v>509.76</v>
      </c>
      <c r="W81" s="217">
        <v>936.51</v>
      </c>
      <c r="X81" s="220">
        <v>1340.85</v>
      </c>
      <c r="Y81" s="304">
        <v>1627.52</v>
      </c>
      <c r="Z81" s="172">
        <v>941.81</v>
      </c>
      <c r="AA81" s="8">
        <f t="shared" si="11"/>
        <v>11394.43</v>
      </c>
      <c r="AC81" s="31"/>
      <c r="AE81" s="321">
        <f t="shared" si="10"/>
        <v>0</v>
      </c>
      <c r="AF81" s="321">
        <f t="shared" si="12"/>
        <v>0</v>
      </c>
      <c r="AG81" s="321">
        <f t="shared" si="12"/>
        <v>0</v>
      </c>
      <c r="AH81" s="321">
        <f t="shared" si="12"/>
        <v>0</v>
      </c>
      <c r="AI81" s="321">
        <f t="shared" si="12"/>
        <v>0</v>
      </c>
      <c r="AJ81" s="321">
        <f t="shared" si="12"/>
        <v>0</v>
      </c>
      <c r="AK81" s="321">
        <f t="shared" si="12"/>
        <v>0</v>
      </c>
      <c r="AL81" s="321">
        <f t="shared" si="12"/>
        <v>0</v>
      </c>
      <c r="AM81" s="321">
        <f t="shared" si="12"/>
        <v>0</v>
      </c>
      <c r="AN81" s="321">
        <f t="shared" si="12"/>
        <v>0</v>
      </c>
      <c r="AO81" s="321">
        <f t="shared" si="12"/>
        <v>0</v>
      </c>
      <c r="AP81" s="321">
        <f t="shared" si="12"/>
        <v>0</v>
      </c>
      <c r="AQ81" s="321">
        <f t="shared" si="12"/>
        <v>936.51</v>
      </c>
      <c r="AR81" s="70">
        <f t="shared" si="8"/>
        <v>936.51</v>
      </c>
    </row>
    <row r="82" spans="1:44" s="17" customFormat="1" ht="10.5">
      <c r="A82" s="1" t="s">
        <v>970</v>
      </c>
      <c r="B82" s="42">
        <v>13943600</v>
      </c>
      <c r="C82" s="11" t="s">
        <v>628</v>
      </c>
      <c r="D82" s="11" t="s">
        <v>602</v>
      </c>
      <c r="E82" s="11"/>
      <c r="F82" s="340"/>
      <c r="G82" s="11"/>
      <c r="H82" s="11"/>
      <c r="I82" s="11"/>
      <c r="J82" s="11"/>
      <c r="K82" s="11"/>
      <c r="L82" s="11"/>
      <c r="M82" s="11"/>
      <c r="N82" s="11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8">
        <f t="shared" si="11"/>
        <v>0</v>
      </c>
      <c r="AB82" s="1"/>
      <c r="AC82" s="31"/>
      <c r="AD82" s="321"/>
      <c r="AE82" s="321">
        <f t="shared" si="10"/>
        <v>0</v>
      </c>
      <c r="AF82" s="321">
        <f t="shared" si="12"/>
        <v>0</v>
      </c>
      <c r="AG82" s="321">
        <f t="shared" si="12"/>
        <v>0</v>
      </c>
      <c r="AH82" s="321">
        <f t="shared" si="12"/>
        <v>0</v>
      </c>
      <c r="AI82" s="321">
        <f t="shared" si="12"/>
        <v>0</v>
      </c>
      <c r="AJ82" s="321">
        <f t="shared" si="12"/>
        <v>0</v>
      </c>
      <c r="AK82" s="321">
        <f t="shared" si="12"/>
        <v>0</v>
      </c>
      <c r="AL82" s="321">
        <f t="shared" si="12"/>
        <v>0</v>
      </c>
      <c r="AM82" s="321">
        <f t="shared" si="12"/>
        <v>0</v>
      </c>
      <c r="AN82" s="321">
        <f t="shared" si="12"/>
        <v>0</v>
      </c>
      <c r="AO82" s="321">
        <f t="shared" si="12"/>
        <v>0</v>
      </c>
      <c r="AP82" s="321">
        <f t="shared" si="12"/>
        <v>0</v>
      </c>
      <c r="AQ82" s="321">
        <f t="shared" si="12"/>
        <v>0</v>
      </c>
      <c r="AR82" s="70">
        <f t="shared" si="8"/>
        <v>0</v>
      </c>
    </row>
    <row r="83" spans="1:44" s="17" customFormat="1" ht="10.5">
      <c r="A83" s="1" t="s">
        <v>970</v>
      </c>
      <c r="B83" s="42">
        <v>15059608</v>
      </c>
      <c r="C83" s="11" t="s">
        <v>847</v>
      </c>
      <c r="D83" s="11" t="s">
        <v>847</v>
      </c>
      <c r="E83" s="11"/>
      <c r="F83" s="340"/>
      <c r="G83" s="11"/>
      <c r="H83" s="11"/>
      <c r="I83" s="11"/>
      <c r="J83" s="11"/>
      <c r="K83" s="11"/>
      <c r="L83" s="11"/>
      <c r="M83" s="11"/>
      <c r="N83" s="11"/>
      <c r="O83" s="181">
        <v>319.37</v>
      </c>
      <c r="P83" s="184">
        <v>551.03</v>
      </c>
      <c r="Q83" s="229">
        <v>389.55</v>
      </c>
      <c r="R83" s="32"/>
      <c r="S83" s="195">
        <v>208.67</v>
      </c>
      <c r="T83" s="238">
        <v>245.23</v>
      </c>
      <c r="U83" s="32"/>
      <c r="V83" s="32"/>
      <c r="W83" s="217">
        <v>278.70999999999998</v>
      </c>
      <c r="X83" s="220">
        <v>244.3</v>
      </c>
      <c r="Y83" s="32"/>
      <c r="Z83" s="32"/>
      <c r="AA83" s="8">
        <f t="shared" si="11"/>
        <v>2236.86</v>
      </c>
      <c r="AB83" s="1"/>
      <c r="AC83" s="31"/>
      <c r="AD83" s="321"/>
      <c r="AE83" s="321">
        <f t="shared" si="10"/>
        <v>0</v>
      </c>
      <c r="AF83" s="321">
        <f t="shared" si="12"/>
        <v>0</v>
      </c>
      <c r="AG83" s="321">
        <f t="shared" si="12"/>
        <v>0</v>
      </c>
      <c r="AH83" s="321">
        <f t="shared" si="12"/>
        <v>0</v>
      </c>
      <c r="AI83" s="321">
        <f t="shared" si="12"/>
        <v>0</v>
      </c>
      <c r="AJ83" s="321">
        <f t="shared" si="12"/>
        <v>0</v>
      </c>
      <c r="AK83" s="321">
        <f t="shared" si="12"/>
        <v>0</v>
      </c>
      <c r="AL83" s="321">
        <f t="shared" si="12"/>
        <v>0</v>
      </c>
      <c r="AM83" s="321">
        <f t="shared" si="12"/>
        <v>0</v>
      </c>
      <c r="AN83" s="321">
        <f t="shared" si="12"/>
        <v>0</v>
      </c>
      <c r="AO83" s="321">
        <f t="shared" si="12"/>
        <v>0</v>
      </c>
      <c r="AP83" s="321">
        <f t="shared" si="12"/>
        <v>0</v>
      </c>
      <c r="AQ83" s="321">
        <f t="shared" si="12"/>
        <v>278.70999999999998</v>
      </c>
      <c r="AR83" s="70">
        <f t="shared" si="8"/>
        <v>278.70999999999998</v>
      </c>
    </row>
    <row r="84" spans="1:44" ht="10.5">
      <c r="A84" s="1" t="s">
        <v>663</v>
      </c>
      <c r="B84" s="4">
        <v>10288600</v>
      </c>
      <c r="C84" s="1" t="s">
        <v>264</v>
      </c>
      <c r="D84" s="1" t="s">
        <v>893</v>
      </c>
      <c r="E84" s="7">
        <v>1982</v>
      </c>
      <c r="F84" s="7">
        <v>134</v>
      </c>
      <c r="G84" s="1" t="s">
        <v>809</v>
      </c>
      <c r="H84" s="7">
        <v>409</v>
      </c>
      <c r="I84" s="7">
        <v>26</v>
      </c>
      <c r="J84" s="1" t="s">
        <v>765</v>
      </c>
      <c r="K84" s="1" t="s">
        <v>432</v>
      </c>
      <c r="L84" s="1" t="s">
        <v>745</v>
      </c>
      <c r="M84" s="333" t="s">
        <v>744</v>
      </c>
      <c r="N84" s="332">
        <v>40511</v>
      </c>
      <c r="O84" s="181">
        <v>122043.56</v>
      </c>
      <c r="P84" s="184">
        <v>130734.11</v>
      </c>
      <c r="Q84" s="229">
        <v>117232.36</v>
      </c>
      <c r="R84" s="192">
        <v>156881.1</v>
      </c>
      <c r="S84" s="195">
        <v>97101.09</v>
      </c>
      <c r="T84" s="238">
        <v>35191.82</v>
      </c>
      <c r="U84" s="347">
        <v>45205.39</v>
      </c>
      <c r="V84" s="212">
        <v>73639.490000000005</v>
      </c>
      <c r="W84" s="217">
        <v>94376.61</v>
      </c>
      <c r="X84" s="220">
        <v>133135.37</v>
      </c>
      <c r="Y84" s="304">
        <v>142018.26999999999</v>
      </c>
      <c r="Z84" s="172">
        <v>113835.19</v>
      </c>
      <c r="AA84" s="8">
        <f t="shared" si="11"/>
        <v>1261394.3599999999</v>
      </c>
      <c r="AC84" s="31"/>
      <c r="AE84" s="321">
        <f t="shared" si="10"/>
        <v>0</v>
      </c>
      <c r="AF84" s="321">
        <f t="shared" si="12"/>
        <v>0</v>
      </c>
      <c r="AG84" s="321">
        <f t="shared" si="12"/>
        <v>0</v>
      </c>
      <c r="AH84" s="321">
        <f t="shared" si="12"/>
        <v>0</v>
      </c>
      <c r="AI84" s="321">
        <f t="shared" si="12"/>
        <v>0</v>
      </c>
      <c r="AJ84" s="321">
        <f t="shared" si="12"/>
        <v>94376.61</v>
      </c>
      <c r="AK84" s="321">
        <f t="shared" si="12"/>
        <v>0</v>
      </c>
      <c r="AL84" s="321">
        <f t="shared" si="12"/>
        <v>0</v>
      </c>
      <c r="AM84" s="321">
        <f t="shared" si="12"/>
        <v>0</v>
      </c>
      <c r="AN84" s="321">
        <f t="shared" si="12"/>
        <v>0</v>
      </c>
      <c r="AO84" s="321">
        <f t="shared" si="12"/>
        <v>0</v>
      </c>
      <c r="AP84" s="321">
        <f t="shared" si="12"/>
        <v>0</v>
      </c>
      <c r="AQ84" s="321">
        <f t="shared" si="12"/>
        <v>0</v>
      </c>
      <c r="AR84" s="70">
        <f t="shared" si="8"/>
        <v>94376.61</v>
      </c>
    </row>
    <row r="85" spans="1:44" ht="10.5">
      <c r="A85" s="1" t="s">
        <v>970</v>
      </c>
      <c r="B85" s="4">
        <v>15010643</v>
      </c>
      <c r="C85" s="1" t="s">
        <v>691</v>
      </c>
      <c r="D85" s="1" t="s">
        <v>586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8">
        <f t="shared" si="11"/>
        <v>0</v>
      </c>
      <c r="AC85" s="31"/>
      <c r="AE85" s="321">
        <f t="shared" si="10"/>
        <v>0</v>
      </c>
      <c r="AF85" s="321">
        <f t="shared" si="12"/>
        <v>0</v>
      </c>
      <c r="AG85" s="321">
        <f t="shared" si="12"/>
        <v>0</v>
      </c>
      <c r="AH85" s="321">
        <f t="shared" si="12"/>
        <v>0</v>
      </c>
      <c r="AI85" s="321">
        <f t="shared" si="12"/>
        <v>0</v>
      </c>
      <c r="AJ85" s="321">
        <f t="shared" si="12"/>
        <v>0</v>
      </c>
      <c r="AK85" s="321">
        <f t="shared" si="12"/>
        <v>0</v>
      </c>
      <c r="AL85" s="321">
        <f t="shared" si="12"/>
        <v>0</v>
      </c>
      <c r="AM85" s="321">
        <f t="shared" si="12"/>
        <v>0</v>
      </c>
      <c r="AN85" s="321">
        <f t="shared" si="12"/>
        <v>0</v>
      </c>
      <c r="AO85" s="321">
        <f t="shared" si="12"/>
        <v>0</v>
      </c>
      <c r="AP85" s="321">
        <f t="shared" si="12"/>
        <v>0</v>
      </c>
      <c r="AQ85" s="321">
        <f t="shared" si="12"/>
        <v>0</v>
      </c>
      <c r="AR85" s="70">
        <f t="shared" si="8"/>
        <v>0</v>
      </c>
    </row>
    <row r="86" spans="1:44" ht="10.5">
      <c r="A86" s="1" t="s">
        <v>970</v>
      </c>
      <c r="B86" s="4">
        <v>15062918</v>
      </c>
      <c r="D86" s="1" t="s">
        <v>888</v>
      </c>
      <c r="O86" s="32"/>
      <c r="P86" s="32"/>
      <c r="Q86" s="32"/>
      <c r="R86" s="32"/>
      <c r="S86" s="32"/>
      <c r="T86" s="238">
        <v>543.51</v>
      </c>
      <c r="U86" s="347">
        <v>72.11</v>
      </c>
      <c r="V86" s="212">
        <v>65.010000000000005</v>
      </c>
      <c r="W86" s="217">
        <v>190.54</v>
      </c>
      <c r="X86" s="220">
        <v>108.35</v>
      </c>
      <c r="Y86" s="304">
        <v>319.06</v>
      </c>
      <c r="Z86" s="172">
        <v>276.47000000000003</v>
      </c>
      <c r="AA86" s="8">
        <f t="shared" si="11"/>
        <v>1575.05</v>
      </c>
      <c r="AC86" s="31"/>
      <c r="AE86" s="321">
        <f t="shared" si="10"/>
        <v>0</v>
      </c>
      <c r="AF86" s="321">
        <f t="shared" si="12"/>
        <v>0</v>
      </c>
      <c r="AG86" s="321">
        <f t="shared" si="12"/>
        <v>0</v>
      </c>
      <c r="AH86" s="321">
        <f t="shared" si="12"/>
        <v>0</v>
      </c>
      <c r="AI86" s="321">
        <f t="shared" si="12"/>
        <v>0</v>
      </c>
      <c r="AJ86" s="321">
        <f t="shared" si="12"/>
        <v>0</v>
      </c>
      <c r="AK86" s="321">
        <f t="shared" si="12"/>
        <v>0</v>
      </c>
      <c r="AL86" s="321">
        <f t="shared" si="12"/>
        <v>0</v>
      </c>
      <c r="AM86" s="321">
        <f t="shared" si="12"/>
        <v>0</v>
      </c>
      <c r="AN86" s="321">
        <f t="shared" si="12"/>
        <v>0</v>
      </c>
      <c r="AO86" s="321">
        <f t="shared" si="12"/>
        <v>0</v>
      </c>
      <c r="AP86" s="321">
        <f t="shared" si="12"/>
        <v>0</v>
      </c>
      <c r="AQ86" s="321">
        <f t="shared" si="12"/>
        <v>190.54</v>
      </c>
      <c r="AR86" s="70">
        <f t="shared" si="8"/>
        <v>190.54</v>
      </c>
    </row>
    <row r="87" spans="1:44" ht="10.5">
      <c r="A87" s="1" t="s">
        <v>659</v>
      </c>
      <c r="B87" s="4">
        <v>7005102</v>
      </c>
      <c r="C87" s="1" t="s">
        <v>633</v>
      </c>
      <c r="D87" s="1" t="s">
        <v>265</v>
      </c>
      <c r="E87" s="338">
        <v>33025</v>
      </c>
      <c r="F87" s="7">
        <v>111</v>
      </c>
      <c r="G87" s="1" t="s">
        <v>783</v>
      </c>
      <c r="H87" s="7">
        <v>99</v>
      </c>
      <c r="I87" s="7">
        <v>0</v>
      </c>
      <c r="J87" s="1" t="s">
        <v>776</v>
      </c>
      <c r="K87" s="1" t="s">
        <v>434</v>
      </c>
      <c r="L87" s="1" t="s">
        <v>745</v>
      </c>
      <c r="M87" s="333" t="s">
        <v>744</v>
      </c>
      <c r="N87" s="332">
        <v>40505</v>
      </c>
      <c r="O87" s="181">
        <v>11373.49</v>
      </c>
      <c r="P87" s="184">
        <v>9817.65</v>
      </c>
      <c r="Q87" s="229">
        <v>11256.68</v>
      </c>
      <c r="R87" s="192">
        <v>12439.64</v>
      </c>
      <c r="S87" s="195">
        <v>9028.64</v>
      </c>
      <c r="T87" s="238">
        <v>6694.95</v>
      </c>
      <c r="U87" s="347">
        <v>6438.6</v>
      </c>
      <c r="V87" s="212">
        <v>6899.14</v>
      </c>
      <c r="W87" s="217">
        <v>10280.06</v>
      </c>
      <c r="X87" s="220">
        <v>12971.97</v>
      </c>
      <c r="Y87" s="304">
        <v>12858.22</v>
      </c>
      <c r="Z87" s="172">
        <v>10999.35</v>
      </c>
      <c r="AA87" s="8">
        <f t="shared" si="11"/>
        <v>121058.39</v>
      </c>
      <c r="AC87" s="31"/>
      <c r="AE87" s="321">
        <f t="shared" si="10"/>
        <v>0</v>
      </c>
      <c r="AF87" s="321">
        <f t="shared" si="12"/>
        <v>0</v>
      </c>
      <c r="AG87" s="321">
        <f t="shared" si="12"/>
        <v>0</v>
      </c>
      <c r="AH87" s="321">
        <f t="shared" si="12"/>
        <v>0</v>
      </c>
      <c r="AI87" s="321">
        <f t="shared" si="12"/>
        <v>0</v>
      </c>
      <c r="AJ87" s="321">
        <f t="shared" si="12"/>
        <v>0</v>
      </c>
      <c r="AK87" s="321">
        <f t="shared" si="12"/>
        <v>0</v>
      </c>
      <c r="AL87" s="321">
        <f t="shared" si="12"/>
        <v>0</v>
      </c>
      <c r="AM87" s="321">
        <f t="shared" si="12"/>
        <v>10280.06</v>
      </c>
      <c r="AN87" s="321">
        <f t="shared" si="12"/>
        <v>0</v>
      </c>
      <c r="AO87" s="321">
        <f t="shared" si="12"/>
        <v>0</v>
      </c>
      <c r="AP87" s="321">
        <f t="shared" si="12"/>
        <v>0</v>
      </c>
      <c r="AQ87" s="321">
        <f t="shared" si="12"/>
        <v>0</v>
      </c>
      <c r="AR87" s="70">
        <f t="shared" si="8"/>
        <v>10280.06</v>
      </c>
    </row>
    <row r="88" spans="1:44" ht="10.5">
      <c r="A88" s="1" t="s">
        <v>659</v>
      </c>
      <c r="B88" s="4">
        <v>15028327</v>
      </c>
      <c r="C88" s="1" t="s">
        <v>566</v>
      </c>
      <c r="D88" s="1" t="s">
        <v>511</v>
      </c>
      <c r="E88" s="7">
        <v>1981</v>
      </c>
      <c r="F88" s="7">
        <v>112</v>
      </c>
      <c r="G88" s="1" t="s">
        <v>511</v>
      </c>
      <c r="H88" s="7">
        <v>98</v>
      </c>
      <c r="I88" s="7">
        <v>0</v>
      </c>
      <c r="K88" s="1" t="s">
        <v>435</v>
      </c>
      <c r="L88" s="1" t="s">
        <v>745</v>
      </c>
      <c r="M88" s="333" t="s">
        <v>744</v>
      </c>
      <c r="N88" s="332">
        <v>40505</v>
      </c>
      <c r="O88" s="181">
        <v>8416.2000000000007</v>
      </c>
      <c r="P88" s="184">
        <v>6999.17</v>
      </c>
      <c r="Q88" s="229">
        <v>8294.36</v>
      </c>
      <c r="R88" s="192">
        <v>10279.450000000001</v>
      </c>
      <c r="S88" s="195">
        <v>6922.48</v>
      </c>
      <c r="T88" s="238">
        <v>5839.9</v>
      </c>
      <c r="U88" s="347">
        <v>5164.82</v>
      </c>
      <c r="V88" s="212">
        <v>4742.5600000000004</v>
      </c>
      <c r="W88" s="217">
        <v>6964.69</v>
      </c>
      <c r="X88" s="220">
        <v>8956.64</v>
      </c>
      <c r="Y88" s="304">
        <v>8367.9699999999993</v>
      </c>
      <c r="Z88" s="172">
        <v>8174.57</v>
      </c>
      <c r="AA88" s="8">
        <f t="shared" si="11"/>
        <v>89122.81</v>
      </c>
      <c r="AC88" s="31"/>
      <c r="AE88" s="321">
        <f t="shared" si="10"/>
        <v>0</v>
      </c>
      <c r="AF88" s="321">
        <f t="shared" si="12"/>
        <v>0</v>
      </c>
      <c r="AG88" s="321">
        <f t="shared" si="12"/>
        <v>0</v>
      </c>
      <c r="AH88" s="321">
        <f t="shared" si="12"/>
        <v>0</v>
      </c>
      <c r="AI88" s="321">
        <f t="shared" si="12"/>
        <v>0</v>
      </c>
      <c r="AJ88" s="321">
        <f t="shared" si="12"/>
        <v>0</v>
      </c>
      <c r="AK88" s="321">
        <f t="shared" si="12"/>
        <v>0</v>
      </c>
      <c r="AL88" s="321">
        <f t="shared" si="12"/>
        <v>0</v>
      </c>
      <c r="AM88" s="321">
        <f t="shared" si="12"/>
        <v>6964.69</v>
      </c>
      <c r="AN88" s="321">
        <f t="shared" si="12"/>
        <v>0</v>
      </c>
      <c r="AO88" s="321">
        <f t="shared" si="12"/>
        <v>0</v>
      </c>
      <c r="AP88" s="321">
        <f t="shared" si="12"/>
        <v>0</v>
      </c>
      <c r="AQ88" s="321">
        <f t="shared" si="12"/>
        <v>0</v>
      </c>
      <c r="AR88" s="70">
        <f t="shared" si="8"/>
        <v>6964.69</v>
      </c>
    </row>
    <row r="89" spans="1:44" ht="10.5">
      <c r="A89" s="1" t="s">
        <v>970</v>
      </c>
      <c r="B89" s="4">
        <v>15063099</v>
      </c>
      <c r="D89" s="1" t="s">
        <v>885</v>
      </c>
      <c r="O89" s="238">
        <v>8.32</v>
      </c>
      <c r="P89" s="238">
        <v>10.8</v>
      </c>
      <c r="Q89" s="238">
        <v>30.18</v>
      </c>
      <c r="R89" s="347">
        <v>260.94</v>
      </c>
      <c r="S89" s="347">
        <v>25.5</v>
      </c>
      <c r="T89" s="32"/>
      <c r="U89" s="220">
        <v>12.75</v>
      </c>
      <c r="V89" s="220">
        <v>188.28</v>
      </c>
      <c r="W89" s="220">
        <v>44.63</v>
      </c>
      <c r="X89" s="32"/>
      <c r="Y89" s="32"/>
      <c r="Z89" s="32"/>
      <c r="AA89" s="8">
        <f t="shared" si="11"/>
        <v>581.4</v>
      </c>
      <c r="AC89" s="31"/>
      <c r="AE89" s="321">
        <f t="shared" si="10"/>
        <v>0</v>
      </c>
      <c r="AF89" s="321">
        <f t="shared" si="12"/>
        <v>0</v>
      </c>
      <c r="AG89" s="321">
        <f t="shared" si="12"/>
        <v>0</v>
      </c>
      <c r="AH89" s="321">
        <f t="shared" si="12"/>
        <v>0</v>
      </c>
      <c r="AI89" s="321">
        <f t="shared" si="12"/>
        <v>0</v>
      </c>
      <c r="AJ89" s="321">
        <f t="shared" si="12"/>
        <v>0</v>
      </c>
      <c r="AK89" s="321">
        <f t="shared" si="12"/>
        <v>0</v>
      </c>
      <c r="AL89" s="321">
        <f t="shared" si="12"/>
        <v>0</v>
      </c>
      <c r="AM89" s="321">
        <f t="shared" si="12"/>
        <v>0</v>
      </c>
      <c r="AN89" s="321">
        <f t="shared" si="12"/>
        <v>0</v>
      </c>
      <c r="AO89" s="321">
        <f t="shared" si="12"/>
        <v>0</v>
      </c>
      <c r="AP89" s="321">
        <f t="shared" si="12"/>
        <v>0</v>
      </c>
      <c r="AQ89" s="321">
        <f t="shared" si="12"/>
        <v>44.63</v>
      </c>
      <c r="AR89" s="70">
        <f t="shared" si="8"/>
        <v>44.63</v>
      </c>
    </row>
    <row r="90" spans="1:44" ht="10.5">
      <c r="A90" s="1" t="s">
        <v>970</v>
      </c>
      <c r="B90" s="4">
        <v>15061958</v>
      </c>
      <c r="D90" s="1" t="s">
        <v>878</v>
      </c>
      <c r="O90" s="184">
        <v>518.5</v>
      </c>
      <c r="P90" s="184">
        <v>223.13</v>
      </c>
      <c r="Q90" s="229">
        <v>78.63</v>
      </c>
      <c r="R90" s="192">
        <v>480.25</v>
      </c>
      <c r="S90" s="195">
        <v>157.25</v>
      </c>
      <c r="T90" s="238">
        <v>133.71</v>
      </c>
      <c r="U90" s="32"/>
      <c r="V90" s="32"/>
      <c r="W90" s="32"/>
      <c r="X90" s="220">
        <v>316.37</v>
      </c>
      <c r="Y90" s="304">
        <v>221</v>
      </c>
      <c r="Z90" s="172">
        <v>61.54</v>
      </c>
      <c r="AA90" s="8">
        <f t="shared" si="11"/>
        <v>2190.38</v>
      </c>
      <c r="AC90" s="31"/>
      <c r="AE90" s="321">
        <f t="shared" si="10"/>
        <v>0</v>
      </c>
      <c r="AF90" s="321">
        <f t="shared" si="12"/>
        <v>0</v>
      </c>
      <c r="AG90" s="321">
        <f t="shared" si="12"/>
        <v>0</v>
      </c>
      <c r="AH90" s="321">
        <f t="shared" si="12"/>
        <v>0</v>
      </c>
      <c r="AI90" s="321">
        <f t="shared" si="12"/>
        <v>0</v>
      </c>
      <c r="AJ90" s="321">
        <f t="shared" si="12"/>
        <v>0</v>
      </c>
      <c r="AK90" s="321">
        <f t="shared" si="12"/>
        <v>0</v>
      </c>
      <c r="AL90" s="321">
        <f t="shared" si="12"/>
        <v>0</v>
      </c>
      <c r="AM90" s="321">
        <f t="shared" si="12"/>
        <v>0</v>
      </c>
      <c r="AN90" s="321">
        <f t="shared" si="12"/>
        <v>0</v>
      </c>
      <c r="AO90" s="321">
        <f t="shared" si="12"/>
        <v>0</v>
      </c>
      <c r="AP90" s="321">
        <f t="shared" si="12"/>
        <v>0</v>
      </c>
      <c r="AQ90" s="321">
        <f t="shared" si="12"/>
        <v>0</v>
      </c>
      <c r="AR90" s="70">
        <f t="shared" si="8"/>
        <v>0</v>
      </c>
    </row>
    <row r="91" spans="1:44" ht="10.5">
      <c r="A91" s="1" t="s">
        <v>970</v>
      </c>
      <c r="B91" s="4">
        <v>15028936</v>
      </c>
      <c r="C91" s="1" t="s">
        <v>478</v>
      </c>
      <c r="D91" s="1" t="s">
        <v>478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8">
        <f t="shared" si="11"/>
        <v>0</v>
      </c>
      <c r="AC91" s="31"/>
      <c r="AE91" s="321">
        <f t="shared" si="10"/>
        <v>0</v>
      </c>
      <c r="AF91" s="321">
        <f t="shared" si="12"/>
        <v>0</v>
      </c>
      <c r="AG91" s="321">
        <f t="shared" si="12"/>
        <v>0</v>
      </c>
      <c r="AH91" s="321">
        <f t="shared" si="12"/>
        <v>0</v>
      </c>
      <c r="AI91" s="321">
        <f t="shared" si="12"/>
        <v>0</v>
      </c>
      <c r="AJ91" s="321">
        <f t="shared" si="12"/>
        <v>0</v>
      </c>
      <c r="AK91" s="321">
        <f t="shared" si="12"/>
        <v>0</v>
      </c>
      <c r="AL91" s="321">
        <f t="shared" si="12"/>
        <v>0</v>
      </c>
      <c r="AM91" s="321">
        <f t="shared" si="12"/>
        <v>0</v>
      </c>
      <c r="AN91" s="321">
        <f t="shared" si="12"/>
        <v>0</v>
      </c>
      <c r="AO91" s="321">
        <f t="shared" si="12"/>
        <v>0</v>
      </c>
      <c r="AP91" s="321">
        <f t="shared" si="12"/>
        <v>0</v>
      </c>
      <c r="AQ91" s="321">
        <f t="shared" si="12"/>
        <v>0</v>
      </c>
      <c r="AR91" s="70">
        <f t="shared" si="8"/>
        <v>0</v>
      </c>
    </row>
    <row r="92" spans="1:44" ht="10.5">
      <c r="A92" s="1" t="s">
        <v>659</v>
      </c>
      <c r="B92" s="4">
        <v>15036180</v>
      </c>
      <c r="C92" s="1" t="s">
        <v>626</v>
      </c>
      <c r="D92" s="1" t="s">
        <v>687</v>
      </c>
      <c r="E92" s="338">
        <v>33482</v>
      </c>
      <c r="G92" s="1" t="s">
        <v>687</v>
      </c>
      <c r="H92" s="7">
        <v>122</v>
      </c>
      <c r="I92" s="7">
        <v>3</v>
      </c>
      <c r="J92" s="1" t="s">
        <v>754</v>
      </c>
      <c r="K92" s="1" t="s">
        <v>407</v>
      </c>
      <c r="L92" s="1" t="s">
        <v>745</v>
      </c>
      <c r="M92" s="333" t="s">
        <v>744</v>
      </c>
      <c r="N92" s="332">
        <v>40505</v>
      </c>
      <c r="O92" s="181">
        <v>13812.75</v>
      </c>
      <c r="P92" s="184">
        <v>11650.89</v>
      </c>
      <c r="Q92" s="192">
        <v>13202.71</v>
      </c>
      <c r="R92" s="192">
        <v>16665.349999999999</v>
      </c>
      <c r="S92" s="195">
        <v>9613.9599999999991</v>
      </c>
      <c r="T92" s="238">
        <v>6466.55</v>
      </c>
      <c r="U92" s="347">
        <v>5314.73</v>
      </c>
      <c r="V92" s="212">
        <v>5929.41</v>
      </c>
      <c r="W92" s="217">
        <v>11906.67</v>
      </c>
      <c r="X92" s="220">
        <v>15881.74</v>
      </c>
      <c r="Y92" s="304">
        <v>15145.03</v>
      </c>
      <c r="Z92" s="172">
        <v>10680.96</v>
      </c>
      <c r="AA92" s="8">
        <f t="shared" si="11"/>
        <v>136270.75</v>
      </c>
      <c r="AC92" s="31"/>
      <c r="AE92" s="321">
        <f t="shared" si="10"/>
        <v>0</v>
      </c>
      <c r="AF92" s="321">
        <f t="shared" si="12"/>
        <v>0</v>
      </c>
      <c r="AG92" s="321">
        <f t="shared" si="12"/>
        <v>0</v>
      </c>
      <c r="AH92" s="321">
        <f t="shared" si="12"/>
        <v>0</v>
      </c>
      <c r="AI92" s="321">
        <f t="shared" si="12"/>
        <v>0</v>
      </c>
      <c r="AJ92" s="321">
        <f t="shared" si="12"/>
        <v>0</v>
      </c>
      <c r="AK92" s="321">
        <f t="shared" si="12"/>
        <v>0</v>
      </c>
      <c r="AL92" s="321">
        <f t="shared" si="12"/>
        <v>0</v>
      </c>
      <c r="AM92" s="321">
        <f t="shared" si="12"/>
        <v>11906.67</v>
      </c>
      <c r="AN92" s="321">
        <f t="shared" si="12"/>
        <v>0</v>
      </c>
      <c r="AO92" s="321">
        <f t="shared" si="12"/>
        <v>0</v>
      </c>
      <c r="AP92" s="321">
        <f t="shared" si="12"/>
        <v>0</v>
      </c>
      <c r="AQ92" s="321">
        <f t="shared" si="12"/>
        <v>0</v>
      </c>
      <c r="AR92" s="70">
        <f t="shared" si="8"/>
        <v>11906.67</v>
      </c>
    </row>
    <row r="93" spans="1:44" ht="10.5">
      <c r="A93" s="1" t="s">
        <v>535</v>
      </c>
      <c r="B93" s="4">
        <v>7008901</v>
      </c>
      <c r="C93" s="1" t="s">
        <v>268</v>
      </c>
      <c r="D93" s="1" t="s">
        <v>268</v>
      </c>
      <c r="E93" s="338">
        <v>24289</v>
      </c>
      <c r="F93" s="7">
        <v>135</v>
      </c>
      <c r="G93" s="1" t="s">
        <v>784</v>
      </c>
      <c r="H93" s="7">
        <v>108</v>
      </c>
      <c r="I93" s="7">
        <v>0</v>
      </c>
      <c r="J93" s="1" t="s">
        <v>754</v>
      </c>
      <c r="K93" s="1" t="s">
        <v>437</v>
      </c>
      <c r="L93" s="1" t="s">
        <v>745</v>
      </c>
      <c r="M93" s="333" t="s">
        <v>744</v>
      </c>
      <c r="N93" s="332">
        <v>40511</v>
      </c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8">
        <f t="shared" si="11"/>
        <v>0</v>
      </c>
      <c r="AC93" s="31"/>
      <c r="AE93" s="321">
        <f t="shared" si="10"/>
        <v>0</v>
      </c>
      <c r="AF93" s="321">
        <f t="shared" si="12"/>
        <v>0</v>
      </c>
      <c r="AG93" s="321">
        <f t="shared" si="12"/>
        <v>0</v>
      </c>
      <c r="AH93" s="321">
        <f t="shared" si="12"/>
        <v>0</v>
      </c>
      <c r="AI93" s="321">
        <f t="shared" si="12"/>
        <v>0</v>
      </c>
      <c r="AJ93" s="321">
        <f t="shared" si="12"/>
        <v>0</v>
      </c>
      <c r="AK93" s="321">
        <f t="shared" si="12"/>
        <v>0</v>
      </c>
      <c r="AL93" s="321">
        <f t="shared" si="12"/>
        <v>0</v>
      </c>
      <c r="AM93" s="321">
        <f t="shared" si="12"/>
        <v>0</v>
      </c>
      <c r="AN93" s="321">
        <f t="shared" si="12"/>
        <v>0</v>
      </c>
      <c r="AO93" s="321">
        <f t="shared" si="12"/>
        <v>0</v>
      </c>
      <c r="AP93" s="321">
        <f t="shared" si="12"/>
        <v>0</v>
      </c>
      <c r="AQ93" s="321">
        <f t="shared" si="12"/>
        <v>0</v>
      </c>
      <c r="AR93" s="70">
        <f t="shared" si="8"/>
        <v>0</v>
      </c>
    </row>
    <row r="94" spans="1:44" ht="10.5">
      <c r="A94" s="1" t="s">
        <v>662</v>
      </c>
      <c r="B94" s="4">
        <v>7001502</v>
      </c>
      <c r="C94" s="1" t="s">
        <v>650</v>
      </c>
      <c r="D94" s="1" t="s">
        <v>270</v>
      </c>
      <c r="E94" s="7">
        <v>1968</v>
      </c>
      <c r="F94" s="7">
        <v>128</v>
      </c>
      <c r="G94" s="1" t="s">
        <v>785</v>
      </c>
      <c r="H94" s="7">
        <v>145</v>
      </c>
      <c r="I94" s="7">
        <v>10</v>
      </c>
      <c r="J94" s="1" t="s">
        <v>776</v>
      </c>
      <c r="K94" s="1" t="s">
        <v>451</v>
      </c>
      <c r="L94" s="1" t="s">
        <v>745</v>
      </c>
      <c r="M94" s="333" t="s">
        <v>744</v>
      </c>
      <c r="N94" s="332">
        <v>40505</v>
      </c>
      <c r="O94" s="181">
        <v>14044.78</v>
      </c>
      <c r="P94" s="184">
        <v>11475.62</v>
      </c>
      <c r="Q94" s="229">
        <v>13663.66</v>
      </c>
      <c r="R94" s="192">
        <v>14960.36</v>
      </c>
      <c r="S94" s="195">
        <v>8816.15</v>
      </c>
      <c r="T94" s="238">
        <v>6353.98</v>
      </c>
      <c r="U94" s="347">
        <v>5850.91</v>
      </c>
      <c r="V94" s="212">
        <v>6865.83</v>
      </c>
      <c r="W94" s="217">
        <v>12242.9</v>
      </c>
      <c r="X94" s="220">
        <v>16221.8</v>
      </c>
      <c r="Y94" s="304">
        <v>16475.32</v>
      </c>
      <c r="Z94" s="172">
        <v>15429.61</v>
      </c>
      <c r="AA94" s="8">
        <f t="shared" si="11"/>
        <v>142400.91999999998</v>
      </c>
      <c r="AC94" s="31"/>
      <c r="AE94" s="321">
        <f t="shared" si="10"/>
        <v>0</v>
      </c>
      <c r="AF94" s="321">
        <f t="shared" si="12"/>
        <v>0</v>
      </c>
      <c r="AG94" s="321">
        <f t="shared" si="12"/>
        <v>12242.9</v>
      </c>
      <c r="AH94" s="321">
        <f t="shared" si="12"/>
        <v>0</v>
      </c>
      <c r="AI94" s="321">
        <f t="shared" si="12"/>
        <v>0</v>
      </c>
      <c r="AJ94" s="321">
        <f t="shared" si="12"/>
        <v>0</v>
      </c>
      <c r="AK94" s="321">
        <f t="shared" si="12"/>
        <v>0</v>
      </c>
      <c r="AL94" s="321">
        <f t="shared" si="12"/>
        <v>0</v>
      </c>
      <c r="AM94" s="321">
        <f t="shared" si="12"/>
        <v>0</v>
      </c>
      <c r="AN94" s="321">
        <f t="shared" si="12"/>
        <v>0</v>
      </c>
      <c r="AO94" s="321">
        <f t="shared" si="12"/>
        <v>0</v>
      </c>
      <c r="AP94" s="321">
        <f t="shared" si="12"/>
        <v>0</v>
      </c>
      <c r="AQ94" s="321">
        <f t="shared" si="12"/>
        <v>0</v>
      </c>
      <c r="AR94" s="70">
        <f t="shared" si="8"/>
        <v>12242.9</v>
      </c>
    </row>
    <row r="95" spans="1:44" ht="10.5">
      <c r="A95" s="1" t="s">
        <v>662</v>
      </c>
      <c r="B95" s="4">
        <v>15038477</v>
      </c>
      <c r="C95" s="1" t="s">
        <v>479</v>
      </c>
      <c r="D95" s="1" t="s">
        <v>479</v>
      </c>
      <c r="E95" s="338">
        <v>29312</v>
      </c>
      <c r="G95" s="1" t="s">
        <v>810</v>
      </c>
      <c r="H95" s="7">
        <v>108</v>
      </c>
      <c r="I95" s="7">
        <v>0</v>
      </c>
      <c r="K95" s="1" t="s">
        <v>439</v>
      </c>
      <c r="L95" s="1" t="s">
        <v>745</v>
      </c>
      <c r="M95" s="333" t="s">
        <v>744</v>
      </c>
      <c r="N95" s="332">
        <v>40505</v>
      </c>
      <c r="O95" s="181">
        <v>10861.14</v>
      </c>
      <c r="P95" s="184">
        <v>10141.040000000001</v>
      </c>
      <c r="Q95" s="229">
        <v>11302.96</v>
      </c>
      <c r="R95" s="192">
        <v>12837.25</v>
      </c>
      <c r="S95" s="195">
        <v>9101.94</v>
      </c>
      <c r="T95" s="238">
        <v>6531.8</v>
      </c>
      <c r="U95" s="347">
        <v>6820</v>
      </c>
      <c r="V95" s="212">
        <v>7145.91</v>
      </c>
      <c r="W95" s="217">
        <v>10679.85</v>
      </c>
      <c r="X95" s="220">
        <v>11924.93</v>
      </c>
      <c r="Y95" s="304">
        <v>11164.03</v>
      </c>
      <c r="Z95" s="172">
        <v>8643.92</v>
      </c>
      <c r="AA95" s="8">
        <f t="shared" si="11"/>
        <v>117154.77</v>
      </c>
      <c r="AC95" s="31"/>
      <c r="AE95" s="321">
        <f t="shared" si="10"/>
        <v>0</v>
      </c>
      <c r="AF95" s="321">
        <f t="shared" si="12"/>
        <v>0</v>
      </c>
      <c r="AG95" s="321">
        <f t="shared" si="12"/>
        <v>10679.85</v>
      </c>
      <c r="AH95" s="321">
        <f t="shared" si="12"/>
        <v>0</v>
      </c>
      <c r="AI95" s="321">
        <f t="shared" si="12"/>
        <v>0</v>
      </c>
      <c r="AJ95" s="321">
        <f t="shared" si="12"/>
        <v>0</v>
      </c>
      <c r="AK95" s="321">
        <f t="shared" si="12"/>
        <v>0</v>
      </c>
      <c r="AL95" s="321">
        <f t="shared" si="12"/>
        <v>0</v>
      </c>
      <c r="AM95" s="321">
        <f t="shared" si="12"/>
        <v>0</v>
      </c>
      <c r="AN95" s="321">
        <f t="shared" si="12"/>
        <v>0</v>
      </c>
      <c r="AO95" s="321">
        <f t="shared" si="12"/>
        <v>0</v>
      </c>
      <c r="AP95" s="321">
        <f t="shared" si="12"/>
        <v>0</v>
      </c>
      <c r="AQ95" s="321">
        <f t="shared" si="12"/>
        <v>0</v>
      </c>
      <c r="AR95" s="70">
        <f t="shared" si="8"/>
        <v>10679.85</v>
      </c>
    </row>
    <row r="96" spans="1:44" ht="10.5">
      <c r="A96" s="1" t="s">
        <v>658</v>
      </c>
      <c r="B96" s="4">
        <v>15051247</v>
      </c>
      <c r="C96" s="1" t="s">
        <v>480</v>
      </c>
      <c r="D96" s="1" t="s">
        <v>480</v>
      </c>
      <c r="E96" s="338">
        <v>32203</v>
      </c>
      <c r="G96" s="1" t="s">
        <v>812</v>
      </c>
      <c r="H96" s="7">
        <v>117</v>
      </c>
      <c r="I96" s="7">
        <v>1</v>
      </c>
      <c r="K96" s="1" t="s">
        <v>811</v>
      </c>
      <c r="L96" s="1" t="s">
        <v>745</v>
      </c>
      <c r="M96" s="333" t="s">
        <v>744</v>
      </c>
      <c r="N96" s="332">
        <v>40503</v>
      </c>
      <c r="O96" s="181">
        <v>12765.5</v>
      </c>
      <c r="P96" s="184">
        <v>12446.27</v>
      </c>
      <c r="Q96" s="229">
        <v>12804.15</v>
      </c>
      <c r="R96" s="192">
        <v>14048.63</v>
      </c>
      <c r="S96" s="195">
        <v>11450.77</v>
      </c>
      <c r="T96" s="238">
        <v>10555.6</v>
      </c>
      <c r="U96" s="347">
        <v>9736.44</v>
      </c>
      <c r="V96" s="212">
        <v>10085.370000000001</v>
      </c>
      <c r="W96" s="217">
        <v>12220.83</v>
      </c>
      <c r="X96" s="220">
        <v>13488.16</v>
      </c>
      <c r="Y96" s="304">
        <v>21693.52</v>
      </c>
      <c r="Z96" s="172">
        <v>12404.41</v>
      </c>
      <c r="AA96" s="8">
        <f t="shared" si="11"/>
        <v>153699.65</v>
      </c>
      <c r="AC96" s="31"/>
      <c r="AE96" s="321">
        <f t="shared" si="10"/>
        <v>0</v>
      </c>
      <c r="AF96" s="321">
        <f t="shared" si="12"/>
        <v>0</v>
      </c>
      <c r="AG96" s="321">
        <f t="shared" si="12"/>
        <v>0</v>
      </c>
      <c r="AH96" s="321">
        <f t="shared" si="12"/>
        <v>0</v>
      </c>
      <c r="AI96" s="321">
        <f t="shared" si="12"/>
        <v>0</v>
      </c>
      <c r="AJ96" s="321">
        <f t="shared" si="12"/>
        <v>0</v>
      </c>
      <c r="AK96" s="321">
        <f t="shared" si="12"/>
        <v>12220.83</v>
      </c>
      <c r="AL96" s="321">
        <f t="shared" si="12"/>
        <v>0</v>
      </c>
      <c r="AM96" s="321">
        <f t="shared" si="12"/>
        <v>0</v>
      </c>
      <c r="AN96" s="321">
        <f t="shared" si="12"/>
        <v>0</v>
      </c>
      <c r="AO96" s="321">
        <f t="shared" si="12"/>
        <v>0</v>
      </c>
      <c r="AP96" s="321">
        <f t="shared" si="12"/>
        <v>0</v>
      </c>
      <c r="AQ96" s="321">
        <f t="shared" si="12"/>
        <v>0</v>
      </c>
      <c r="AR96" s="70">
        <f t="shared" si="8"/>
        <v>12220.83</v>
      </c>
    </row>
    <row r="97" spans="1:44" ht="10.5">
      <c r="A97" s="1" t="s">
        <v>970</v>
      </c>
      <c r="B97" s="42">
        <v>15012310</v>
      </c>
      <c r="C97" s="11" t="s">
        <v>603</v>
      </c>
      <c r="D97" s="11" t="s">
        <v>684</v>
      </c>
      <c r="E97" s="11"/>
      <c r="F97" s="340"/>
      <c r="G97" s="11"/>
      <c r="H97" s="11"/>
      <c r="I97" s="11"/>
      <c r="J97" s="11"/>
      <c r="K97" s="11"/>
      <c r="L97" s="11"/>
      <c r="M97" s="11"/>
      <c r="N97" s="11"/>
      <c r="O97" s="32"/>
      <c r="P97" s="32"/>
      <c r="Q97" s="229">
        <v>149.18</v>
      </c>
      <c r="R97" s="192">
        <v>59.28</v>
      </c>
      <c r="S97" s="32"/>
      <c r="T97" s="238">
        <v>235.53</v>
      </c>
      <c r="U97" s="347">
        <v>139.13999999999999</v>
      </c>
      <c r="V97" s="212">
        <v>38.04</v>
      </c>
      <c r="W97" s="217">
        <v>348.92</v>
      </c>
      <c r="X97" s="220">
        <v>352.8</v>
      </c>
      <c r="Y97" s="304">
        <v>424.31</v>
      </c>
      <c r="Z97" s="172">
        <v>352.76</v>
      </c>
      <c r="AA97" s="8">
        <f t="shared" si="11"/>
        <v>2099.96</v>
      </c>
      <c r="AC97" s="31"/>
      <c r="AE97" s="321">
        <f t="shared" si="10"/>
        <v>0</v>
      </c>
      <c r="AF97" s="321">
        <f t="shared" si="12"/>
        <v>0</v>
      </c>
      <c r="AG97" s="321">
        <f t="shared" si="12"/>
        <v>0</v>
      </c>
      <c r="AH97" s="321">
        <f t="shared" si="12"/>
        <v>0</v>
      </c>
      <c r="AI97" s="321">
        <f t="shared" si="12"/>
        <v>0</v>
      </c>
      <c r="AJ97" s="321">
        <f t="shared" si="12"/>
        <v>0</v>
      </c>
      <c r="AK97" s="321">
        <f t="shared" si="12"/>
        <v>0</v>
      </c>
      <c r="AL97" s="321">
        <f t="shared" si="12"/>
        <v>0</v>
      </c>
      <c r="AM97" s="321">
        <f t="shared" si="12"/>
        <v>0</v>
      </c>
      <c r="AN97" s="321">
        <f t="shared" si="12"/>
        <v>0</v>
      </c>
      <c r="AO97" s="321">
        <f t="shared" si="12"/>
        <v>0</v>
      </c>
      <c r="AP97" s="321">
        <f t="shared" si="12"/>
        <v>0</v>
      </c>
      <c r="AQ97" s="321">
        <f t="shared" si="12"/>
        <v>348.92</v>
      </c>
      <c r="AR97" s="70">
        <f t="shared" si="8"/>
        <v>348.92</v>
      </c>
    </row>
    <row r="98" spans="1:44" ht="10.5">
      <c r="A98" s="1" t="s">
        <v>970</v>
      </c>
      <c r="B98" s="42">
        <v>15051241</v>
      </c>
      <c r="C98" s="11" t="s">
        <v>603</v>
      </c>
      <c r="D98" s="11" t="s">
        <v>685</v>
      </c>
      <c r="E98" s="11"/>
      <c r="F98" s="340"/>
      <c r="G98" s="11"/>
      <c r="H98" s="11"/>
      <c r="I98" s="11"/>
      <c r="J98" s="11"/>
      <c r="K98" s="11"/>
      <c r="L98" s="11"/>
      <c r="M98" s="11"/>
      <c r="N98" s="11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8">
        <f t="shared" si="11"/>
        <v>0</v>
      </c>
      <c r="AC98" s="31"/>
      <c r="AE98" s="321">
        <f t="shared" si="10"/>
        <v>0</v>
      </c>
      <c r="AF98" s="321">
        <f t="shared" si="12"/>
        <v>0</v>
      </c>
      <c r="AG98" s="321">
        <f t="shared" ref="AF98:AQ119" si="13">+IF($A98=AG$2,$W98,0)</f>
        <v>0</v>
      </c>
      <c r="AH98" s="321">
        <f t="shared" si="13"/>
        <v>0</v>
      </c>
      <c r="AI98" s="321">
        <f t="shared" si="13"/>
        <v>0</v>
      </c>
      <c r="AJ98" s="321">
        <f t="shared" si="13"/>
        <v>0</v>
      </c>
      <c r="AK98" s="321">
        <f t="shared" si="13"/>
        <v>0</v>
      </c>
      <c r="AL98" s="321">
        <f t="shared" si="13"/>
        <v>0</v>
      </c>
      <c r="AM98" s="321">
        <f t="shared" si="13"/>
        <v>0</v>
      </c>
      <c r="AN98" s="321">
        <f t="shared" si="13"/>
        <v>0</v>
      </c>
      <c r="AO98" s="321">
        <f t="shared" si="13"/>
        <v>0</v>
      </c>
      <c r="AP98" s="321">
        <f t="shared" si="13"/>
        <v>0</v>
      </c>
      <c r="AQ98" s="321">
        <f t="shared" si="13"/>
        <v>0</v>
      </c>
      <c r="AR98" s="70">
        <f t="shared" si="8"/>
        <v>0</v>
      </c>
    </row>
    <row r="99" spans="1:44" ht="10.5">
      <c r="A99" s="1" t="s">
        <v>970</v>
      </c>
      <c r="B99" s="42">
        <v>15051369</v>
      </c>
      <c r="C99" s="11" t="s">
        <v>603</v>
      </c>
      <c r="D99" s="11" t="s">
        <v>686</v>
      </c>
      <c r="E99" s="11"/>
      <c r="F99" s="340"/>
      <c r="G99" s="11"/>
      <c r="H99" s="11"/>
      <c r="I99" s="11"/>
      <c r="J99" s="11"/>
      <c r="K99" s="11"/>
      <c r="L99" s="11"/>
      <c r="M99" s="11"/>
      <c r="N99" s="11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8">
        <f t="shared" si="11"/>
        <v>0</v>
      </c>
      <c r="AC99" s="31"/>
      <c r="AE99" s="321">
        <f t="shared" si="10"/>
        <v>0</v>
      </c>
      <c r="AF99" s="321">
        <f t="shared" si="13"/>
        <v>0</v>
      </c>
      <c r="AG99" s="321">
        <f t="shared" si="13"/>
        <v>0</v>
      </c>
      <c r="AH99" s="321">
        <f t="shared" si="13"/>
        <v>0</v>
      </c>
      <c r="AI99" s="321">
        <f t="shared" si="13"/>
        <v>0</v>
      </c>
      <c r="AJ99" s="321">
        <f t="shared" si="13"/>
        <v>0</v>
      </c>
      <c r="AK99" s="321">
        <f t="shared" si="13"/>
        <v>0</v>
      </c>
      <c r="AL99" s="321">
        <f t="shared" si="13"/>
        <v>0</v>
      </c>
      <c r="AM99" s="321">
        <f t="shared" si="13"/>
        <v>0</v>
      </c>
      <c r="AN99" s="321">
        <f t="shared" si="13"/>
        <v>0</v>
      </c>
      <c r="AO99" s="321">
        <f t="shared" si="13"/>
        <v>0</v>
      </c>
      <c r="AP99" s="321">
        <f t="shared" si="13"/>
        <v>0</v>
      </c>
      <c r="AQ99" s="321">
        <f t="shared" si="13"/>
        <v>0</v>
      </c>
      <c r="AR99" s="70">
        <f t="shared" si="8"/>
        <v>0</v>
      </c>
    </row>
    <row r="100" spans="1:44" ht="10.5">
      <c r="A100" s="1" t="s">
        <v>530</v>
      </c>
      <c r="B100" s="4">
        <v>15051245</v>
      </c>
      <c r="C100" s="1" t="s">
        <v>630</v>
      </c>
      <c r="D100" s="1" t="s">
        <v>630</v>
      </c>
      <c r="E100" s="338">
        <v>37712</v>
      </c>
      <c r="G100" s="1" t="s">
        <v>789</v>
      </c>
      <c r="H100" s="7">
        <v>91</v>
      </c>
      <c r="I100" s="7"/>
      <c r="J100" s="1" t="s">
        <v>765</v>
      </c>
      <c r="K100" s="1" t="s">
        <v>442</v>
      </c>
      <c r="L100" s="1" t="s">
        <v>745</v>
      </c>
      <c r="M100" s="333" t="s">
        <v>744</v>
      </c>
      <c r="N100" s="332">
        <v>40509</v>
      </c>
      <c r="O100" s="181">
        <v>25508.67</v>
      </c>
      <c r="P100" s="184">
        <v>22295.42</v>
      </c>
      <c r="Q100" s="229">
        <v>23079.29</v>
      </c>
      <c r="R100" s="192">
        <v>27956.93</v>
      </c>
      <c r="S100" s="195">
        <v>21240.14</v>
      </c>
      <c r="T100" s="238">
        <v>17269.37</v>
      </c>
      <c r="U100" s="347">
        <v>16189.78</v>
      </c>
      <c r="V100" s="212">
        <v>19106.900000000001</v>
      </c>
      <c r="W100" s="217">
        <v>23644.2</v>
      </c>
      <c r="X100" s="220">
        <v>26050.97</v>
      </c>
      <c r="Y100" s="304">
        <v>23660.01</v>
      </c>
      <c r="Z100" s="172">
        <v>23372.71</v>
      </c>
      <c r="AA100" s="8">
        <f t="shared" si="11"/>
        <v>269374.39</v>
      </c>
      <c r="AC100" s="31"/>
      <c r="AE100" s="321">
        <f t="shared" si="10"/>
        <v>0</v>
      </c>
      <c r="AF100" s="321">
        <f t="shared" si="13"/>
        <v>0</v>
      </c>
      <c r="AG100" s="321">
        <f t="shared" si="13"/>
        <v>0</v>
      </c>
      <c r="AH100" s="321">
        <f t="shared" si="13"/>
        <v>0</v>
      </c>
      <c r="AI100" s="321">
        <f t="shared" si="13"/>
        <v>23644.2</v>
      </c>
      <c r="AJ100" s="321">
        <f t="shared" si="13"/>
        <v>0</v>
      </c>
      <c r="AK100" s="321">
        <f t="shared" si="13"/>
        <v>0</v>
      </c>
      <c r="AL100" s="321">
        <f t="shared" si="13"/>
        <v>0</v>
      </c>
      <c r="AM100" s="321">
        <f t="shared" si="13"/>
        <v>0</v>
      </c>
      <c r="AN100" s="321">
        <f t="shared" si="13"/>
        <v>0</v>
      </c>
      <c r="AO100" s="321">
        <f t="shared" si="13"/>
        <v>0</v>
      </c>
      <c r="AP100" s="321">
        <f t="shared" si="13"/>
        <v>0</v>
      </c>
      <c r="AQ100" s="321">
        <f t="shared" si="13"/>
        <v>0</v>
      </c>
      <c r="AR100" s="70">
        <f t="shared" si="8"/>
        <v>23644.2</v>
      </c>
    </row>
    <row r="101" spans="1:44" ht="10.5">
      <c r="A101" s="1" t="s">
        <v>535</v>
      </c>
      <c r="B101" s="4">
        <v>7004001</v>
      </c>
      <c r="C101" s="1" t="s">
        <v>631</v>
      </c>
      <c r="D101" s="1" t="s">
        <v>731</v>
      </c>
      <c r="E101" s="7">
        <v>1985</v>
      </c>
      <c r="F101" s="7">
        <v>116</v>
      </c>
      <c r="G101" s="1" t="s">
        <v>787</v>
      </c>
      <c r="H101" s="7">
        <v>80</v>
      </c>
      <c r="I101" s="7">
        <v>0</v>
      </c>
      <c r="J101" s="1" t="s">
        <v>765</v>
      </c>
      <c r="K101" s="1" t="s">
        <v>786</v>
      </c>
      <c r="L101" s="1" t="s">
        <v>745</v>
      </c>
      <c r="M101" s="333" t="s">
        <v>744</v>
      </c>
      <c r="N101" s="332">
        <v>40511</v>
      </c>
      <c r="O101" s="181">
        <v>22235.01</v>
      </c>
      <c r="P101" s="184">
        <v>22553.32</v>
      </c>
      <c r="Q101" s="229">
        <v>20670.05</v>
      </c>
      <c r="R101" s="192">
        <v>22801.83</v>
      </c>
      <c r="S101" s="195">
        <v>17146.09</v>
      </c>
      <c r="T101" s="238">
        <v>7617.29</v>
      </c>
      <c r="U101" s="347">
        <v>9104.3700000000008</v>
      </c>
      <c r="V101" s="212">
        <v>10463.49</v>
      </c>
      <c r="W101" s="217">
        <v>17727.72</v>
      </c>
      <c r="X101" s="220">
        <v>20546.8</v>
      </c>
      <c r="Y101" s="304">
        <v>21683.23</v>
      </c>
      <c r="Z101" s="172">
        <v>20253.599999999999</v>
      </c>
      <c r="AA101" s="8">
        <f t="shared" si="11"/>
        <v>212802.8</v>
      </c>
      <c r="AC101" s="31"/>
      <c r="AE101" s="321">
        <f t="shared" si="10"/>
        <v>0</v>
      </c>
      <c r="AF101" s="321">
        <f t="shared" si="13"/>
        <v>0</v>
      </c>
      <c r="AG101" s="321">
        <f t="shared" si="13"/>
        <v>0</v>
      </c>
      <c r="AH101" s="321">
        <f t="shared" si="13"/>
        <v>0</v>
      </c>
      <c r="AI101" s="321">
        <f t="shared" si="13"/>
        <v>0</v>
      </c>
      <c r="AJ101" s="321">
        <f t="shared" si="13"/>
        <v>17727.72</v>
      </c>
      <c r="AK101" s="321">
        <f t="shared" si="13"/>
        <v>0</v>
      </c>
      <c r="AL101" s="321">
        <f t="shared" si="13"/>
        <v>0</v>
      </c>
      <c r="AM101" s="321">
        <f t="shared" si="13"/>
        <v>0</v>
      </c>
      <c r="AN101" s="321">
        <f t="shared" si="13"/>
        <v>0</v>
      </c>
      <c r="AO101" s="321">
        <f t="shared" si="13"/>
        <v>0</v>
      </c>
      <c r="AP101" s="321">
        <f t="shared" si="13"/>
        <v>0</v>
      </c>
      <c r="AQ101" s="321">
        <f t="shared" si="13"/>
        <v>0</v>
      </c>
      <c r="AR101" s="70">
        <f t="shared" si="8"/>
        <v>17727.72</v>
      </c>
    </row>
    <row r="102" spans="1:44" ht="10.5">
      <c r="A102" s="1" t="s">
        <v>537</v>
      </c>
      <c r="B102" s="4">
        <v>15036831</v>
      </c>
      <c r="C102" s="1" t="s">
        <v>364</v>
      </c>
      <c r="D102" s="1" t="s">
        <v>364</v>
      </c>
      <c r="E102" s="7">
        <v>2010</v>
      </c>
      <c r="G102" s="1" t="s">
        <v>788</v>
      </c>
      <c r="H102" s="7">
        <v>104</v>
      </c>
      <c r="I102" s="7">
        <v>1</v>
      </c>
      <c r="J102" s="1" t="s">
        <v>765</v>
      </c>
      <c r="K102" s="1" t="s">
        <v>441</v>
      </c>
      <c r="L102" s="1" t="s">
        <v>745</v>
      </c>
      <c r="M102" s="333" t="s">
        <v>744</v>
      </c>
      <c r="N102" s="332">
        <v>40513</v>
      </c>
      <c r="O102" s="181">
        <v>29704.62</v>
      </c>
      <c r="P102" s="184">
        <v>27192.55</v>
      </c>
      <c r="Q102" s="229">
        <v>29437.15</v>
      </c>
      <c r="R102" s="192">
        <v>31172.2</v>
      </c>
      <c r="S102" s="32"/>
      <c r="T102" s="238">
        <v>14738.98</v>
      </c>
      <c r="U102" s="347">
        <v>20046.55</v>
      </c>
      <c r="V102" s="212">
        <v>24963.14</v>
      </c>
      <c r="W102" s="217">
        <v>25839.439999999999</v>
      </c>
      <c r="X102" s="220">
        <v>31490.83</v>
      </c>
      <c r="Y102" s="304">
        <v>27239.54</v>
      </c>
      <c r="Z102" s="172">
        <v>26450.52</v>
      </c>
      <c r="AA102" s="8">
        <f t="shared" si="11"/>
        <v>288275.52</v>
      </c>
      <c r="AC102" s="31"/>
      <c r="AE102" s="321">
        <f t="shared" si="10"/>
        <v>0</v>
      </c>
      <c r="AF102" s="321">
        <f t="shared" si="13"/>
        <v>25839.439999999999</v>
      </c>
      <c r="AG102" s="321">
        <f t="shared" si="13"/>
        <v>0</v>
      </c>
      <c r="AH102" s="321">
        <f t="shared" si="13"/>
        <v>0</v>
      </c>
      <c r="AI102" s="321">
        <f t="shared" si="13"/>
        <v>0</v>
      </c>
      <c r="AJ102" s="321">
        <f t="shared" si="13"/>
        <v>0</v>
      </c>
      <c r="AK102" s="321">
        <f t="shared" si="13"/>
        <v>0</v>
      </c>
      <c r="AL102" s="321">
        <f t="shared" si="13"/>
        <v>0</v>
      </c>
      <c r="AM102" s="321">
        <f t="shared" si="13"/>
        <v>0</v>
      </c>
      <c r="AN102" s="321">
        <f t="shared" si="13"/>
        <v>0</v>
      </c>
      <c r="AO102" s="321">
        <f t="shared" si="13"/>
        <v>0</v>
      </c>
      <c r="AP102" s="321">
        <f t="shared" si="13"/>
        <v>0</v>
      </c>
      <c r="AQ102" s="321">
        <f t="shared" si="13"/>
        <v>0</v>
      </c>
      <c r="AR102" s="70">
        <f t="shared" si="8"/>
        <v>25839.439999999999</v>
      </c>
    </row>
    <row r="103" spans="1:44" ht="10.5">
      <c r="A103" s="1" t="s">
        <v>535</v>
      </c>
      <c r="B103" s="4">
        <v>15061713</v>
      </c>
      <c r="D103" s="1" t="s">
        <v>278</v>
      </c>
      <c r="E103" s="7"/>
      <c r="H103" s="7"/>
      <c r="I103" s="7"/>
      <c r="M103" s="333"/>
      <c r="N103" s="332"/>
      <c r="O103" s="181">
        <v>6511.56</v>
      </c>
      <c r="P103" s="229">
        <v>4070.11</v>
      </c>
      <c r="Q103" s="229">
        <v>5476.38</v>
      </c>
      <c r="R103" s="195">
        <v>6978.24</v>
      </c>
      <c r="S103" s="195">
        <v>3527.08</v>
      </c>
      <c r="T103" s="217">
        <v>2759.87</v>
      </c>
      <c r="U103" s="347">
        <v>2744.31</v>
      </c>
      <c r="V103" s="212">
        <v>2811.38</v>
      </c>
      <c r="W103" s="217">
        <v>4149.96</v>
      </c>
      <c r="X103" s="220">
        <v>4831.97</v>
      </c>
      <c r="Y103" s="304">
        <v>3603.14</v>
      </c>
      <c r="Z103" s="172">
        <v>3171.94</v>
      </c>
      <c r="AA103" s="8">
        <f t="shared" si="11"/>
        <v>50635.94</v>
      </c>
      <c r="AC103" s="31"/>
      <c r="AE103" s="321">
        <f t="shared" si="10"/>
        <v>0</v>
      </c>
      <c r="AF103" s="321">
        <f t="shared" si="13"/>
        <v>0</v>
      </c>
      <c r="AG103" s="321">
        <f t="shared" si="13"/>
        <v>0</v>
      </c>
      <c r="AH103" s="321">
        <f t="shared" si="13"/>
        <v>0</v>
      </c>
      <c r="AI103" s="321">
        <f t="shared" si="13"/>
        <v>0</v>
      </c>
      <c r="AJ103" s="321">
        <f t="shared" si="13"/>
        <v>4149.96</v>
      </c>
      <c r="AK103" s="321">
        <f t="shared" si="13"/>
        <v>0</v>
      </c>
      <c r="AL103" s="321">
        <f t="shared" si="13"/>
        <v>0</v>
      </c>
      <c r="AM103" s="321">
        <f t="shared" si="13"/>
        <v>0</v>
      </c>
      <c r="AN103" s="321">
        <f t="shared" si="13"/>
        <v>0</v>
      </c>
      <c r="AO103" s="321">
        <f t="shared" si="13"/>
        <v>0</v>
      </c>
      <c r="AP103" s="321">
        <f t="shared" si="13"/>
        <v>0</v>
      </c>
      <c r="AQ103" s="321">
        <f t="shared" si="13"/>
        <v>0</v>
      </c>
      <c r="AR103" s="70">
        <f t="shared" si="8"/>
        <v>4149.96</v>
      </c>
    </row>
    <row r="104" spans="1:44" ht="10.5">
      <c r="A104" s="1" t="s">
        <v>970</v>
      </c>
      <c r="B104" s="42">
        <v>3555200</v>
      </c>
      <c r="C104" s="11" t="s">
        <v>735</v>
      </c>
      <c r="D104" s="11" t="s">
        <v>735</v>
      </c>
      <c r="E104" s="11"/>
      <c r="F104" s="340"/>
      <c r="G104" s="11"/>
      <c r="H104" s="11"/>
      <c r="I104" s="11"/>
      <c r="J104" s="11"/>
      <c r="K104" s="11"/>
      <c r="L104" s="11"/>
      <c r="M104" s="11"/>
      <c r="N104" s="11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8">
        <f t="shared" si="11"/>
        <v>0</v>
      </c>
      <c r="AC104" s="31"/>
      <c r="AE104" s="321">
        <f t="shared" si="10"/>
        <v>0</v>
      </c>
      <c r="AF104" s="321">
        <f t="shared" si="13"/>
        <v>0</v>
      </c>
      <c r="AG104" s="321">
        <f t="shared" si="13"/>
        <v>0</v>
      </c>
      <c r="AH104" s="321">
        <f t="shared" si="13"/>
        <v>0</v>
      </c>
      <c r="AI104" s="321">
        <f t="shared" si="13"/>
        <v>0</v>
      </c>
      <c r="AJ104" s="321">
        <f t="shared" si="13"/>
        <v>0</v>
      </c>
      <c r="AK104" s="321">
        <f t="shared" si="13"/>
        <v>0</v>
      </c>
      <c r="AL104" s="321">
        <f t="shared" si="13"/>
        <v>0</v>
      </c>
      <c r="AM104" s="321">
        <f t="shared" si="13"/>
        <v>0</v>
      </c>
      <c r="AN104" s="321">
        <f t="shared" si="13"/>
        <v>0</v>
      </c>
      <c r="AO104" s="321">
        <f t="shared" si="13"/>
        <v>0</v>
      </c>
      <c r="AP104" s="321">
        <f t="shared" si="13"/>
        <v>0</v>
      </c>
      <c r="AQ104" s="321">
        <f t="shared" si="13"/>
        <v>0</v>
      </c>
      <c r="AR104" s="70">
        <f t="shared" si="8"/>
        <v>0</v>
      </c>
    </row>
    <row r="105" spans="1:44" ht="10.5">
      <c r="A105" s="1" t="s">
        <v>970</v>
      </c>
      <c r="B105" s="42">
        <v>12978700</v>
      </c>
      <c r="C105" s="11" t="s">
        <v>696</v>
      </c>
      <c r="D105" s="11" t="s">
        <v>696</v>
      </c>
      <c r="E105" s="11"/>
      <c r="F105" s="340"/>
      <c r="G105" s="11"/>
      <c r="H105" s="11"/>
      <c r="I105" s="11"/>
      <c r="J105" s="11"/>
      <c r="K105" s="11"/>
      <c r="L105" s="11"/>
      <c r="M105" s="11"/>
      <c r="N105" s="11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8">
        <f t="shared" si="11"/>
        <v>0</v>
      </c>
      <c r="AC105" s="31"/>
      <c r="AE105" s="321">
        <f t="shared" si="10"/>
        <v>0</v>
      </c>
      <c r="AF105" s="321">
        <f t="shared" si="13"/>
        <v>0</v>
      </c>
      <c r="AG105" s="321">
        <f t="shared" si="13"/>
        <v>0</v>
      </c>
      <c r="AH105" s="321">
        <f t="shared" si="13"/>
        <v>0</v>
      </c>
      <c r="AI105" s="321">
        <f t="shared" si="13"/>
        <v>0</v>
      </c>
      <c r="AJ105" s="321">
        <f t="shared" si="13"/>
        <v>0</v>
      </c>
      <c r="AK105" s="321">
        <f t="shared" si="13"/>
        <v>0</v>
      </c>
      <c r="AL105" s="321">
        <f t="shared" si="13"/>
        <v>0</v>
      </c>
      <c r="AM105" s="321">
        <f t="shared" si="13"/>
        <v>0</v>
      </c>
      <c r="AN105" s="321">
        <f t="shared" si="13"/>
        <v>0</v>
      </c>
      <c r="AO105" s="321">
        <f t="shared" si="13"/>
        <v>0</v>
      </c>
      <c r="AP105" s="321">
        <f t="shared" si="13"/>
        <v>0</v>
      </c>
      <c r="AQ105" s="321">
        <f t="shared" si="13"/>
        <v>0</v>
      </c>
      <c r="AR105" s="70">
        <f t="shared" si="8"/>
        <v>0</v>
      </c>
    </row>
    <row r="106" spans="1:44" ht="10.5">
      <c r="A106" s="1" t="s">
        <v>530</v>
      </c>
      <c r="B106" s="42">
        <v>15035622</v>
      </c>
      <c r="C106" s="11" t="s">
        <v>634</v>
      </c>
      <c r="D106" s="11" t="s">
        <v>280</v>
      </c>
      <c r="E106" s="338">
        <v>36251</v>
      </c>
      <c r="F106" s="340"/>
      <c r="G106" s="1" t="s">
        <v>280</v>
      </c>
      <c r="H106" s="7">
        <v>108</v>
      </c>
      <c r="I106" s="7">
        <v>1</v>
      </c>
      <c r="J106" s="1" t="s">
        <v>754</v>
      </c>
      <c r="K106" s="1" t="s">
        <v>443</v>
      </c>
      <c r="L106" s="1" t="s">
        <v>745</v>
      </c>
      <c r="M106" s="333" t="s">
        <v>744</v>
      </c>
      <c r="N106" s="332">
        <v>40509</v>
      </c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8">
        <f t="shared" si="11"/>
        <v>0</v>
      </c>
      <c r="AC106" s="31"/>
      <c r="AE106" s="321">
        <f t="shared" si="10"/>
        <v>0</v>
      </c>
      <c r="AF106" s="321">
        <f t="shared" si="13"/>
        <v>0</v>
      </c>
      <c r="AG106" s="321">
        <f t="shared" si="13"/>
        <v>0</v>
      </c>
      <c r="AH106" s="321">
        <f t="shared" si="13"/>
        <v>0</v>
      </c>
      <c r="AI106" s="321">
        <f t="shared" si="13"/>
        <v>0</v>
      </c>
      <c r="AJ106" s="321">
        <f t="shared" si="13"/>
        <v>0</v>
      </c>
      <c r="AK106" s="321">
        <f t="shared" si="13"/>
        <v>0</v>
      </c>
      <c r="AL106" s="321">
        <f t="shared" si="13"/>
        <v>0</v>
      </c>
      <c r="AM106" s="321">
        <f t="shared" si="13"/>
        <v>0</v>
      </c>
      <c r="AN106" s="321">
        <f t="shared" si="13"/>
        <v>0</v>
      </c>
      <c r="AO106" s="321">
        <f t="shared" si="13"/>
        <v>0</v>
      </c>
      <c r="AP106" s="321">
        <f t="shared" si="13"/>
        <v>0</v>
      </c>
      <c r="AQ106" s="321">
        <f t="shared" si="13"/>
        <v>0</v>
      </c>
      <c r="AR106" s="70">
        <f t="shared" si="8"/>
        <v>0</v>
      </c>
    </row>
    <row r="107" spans="1:44" ht="10.5">
      <c r="A107" s="1" t="s">
        <v>530</v>
      </c>
      <c r="B107" s="42">
        <v>15059439</v>
      </c>
      <c r="C107" s="11" t="s">
        <v>843</v>
      </c>
      <c r="D107" s="11" t="s">
        <v>280</v>
      </c>
      <c r="E107" s="338"/>
      <c r="F107" s="340"/>
      <c r="H107" s="7"/>
      <c r="I107" s="7"/>
      <c r="K107" s="1" t="s">
        <v>443</v>
      </c>
      <c r="L107" s="1" t="s">
        <v>745</v>
      </c>
      <c r="M107" s="333" t="s">
        <v>744</v>
      </c>
      <c r="N107" s="332">
        <v>40509</v>
      </c>
      <c r="O107" s="181">
        <v>13733</v>
      </c>
      <c r="P107" s="184">
        <v>13733</v>
      </c>
      <c r="Q107" s="229">
        <v>11806.35</v>
      </c>
      <c r="R107" s="192">
        <v>13733</v>
      </c>
      <c r="S107" s="32"/>
      <c r="T107" s="238">
        <v>6145.15</v>
      </c>
      <c r="U107" s="347">
        <v>5012.3500000000004</v>
      </c>
      <c r="V107" s="212">
        <v>5773.94</v>
      </c>
      <c r="W107" s="220">
        <v>9428.94</v>
      </c>
      <c r="X107" s="220">
        <v>14473.88</v>
      </c>
      <c r="Y107" s="304">
        <v>13034.09</v>
      </c>
      <c r="Z107" s="32">
        <v>10512.3</v>
      </c>
      <c r="AA107" s="8">
        <f t="shared" si="11"/>
        <v>117386</v>
      </c>
      <c r="AC107" s="31"/>
      <c r="AE107" s="321">
        <f t="shared" si="10"/>
        <v>0</v>
      </c>
      <c r="AF107" s="321">
        <f t="shared" si="13"/>
        <v>0</v>
      </c>
      <c r="AG107" s="321">
        <f t="shared" si="13"/>
        <v>0</v>
      </c>
      <c r="AH107" s="321">
        <f t="shared" si="13"/>
        <v>0</v>
      </c>
      <c r="AI107" s="321">
        <f t="shared" si="13"/>
        <v>9428.94</v>
      </c>
      <c r="AJ107" s="321">
        <f t="shared" si="13"/>
        <v>0</v>
      </c>
      <c r="AK107" s="321">
        <f t="shared" si="13"/>
        <v>0</v>
      </c>
      <c r="AL107" s="321">
        <f t="shared" si="13"/>
        <v>0</v>
      </c>
      <c r="AM107" s="321">
        <f t="shared" si="13"/>
        <v>0</v>
      </c>
      <c r="AN107" s="321">
        <f t="shared" si="13"/>
        <v>0</v>
      </c>
      <c r="AO107" s="321">
        <f t="shared" si="13"/>
        <v>0</v>
      </c>
      <c r="AP107" s="321">
        <f t="shared" si="13"/>
        <v>0</v>
      </c>
      <c r="AQ107" s="321">
        <f t="shared" si="13"/>
        <v>0</v>
      </c>
      <c r="AR107" s="70">
        <f t="shared" si="8"/>
        <v>9428.94</v>
      </c>
    </row>
    <row r="108" spans="1:44" ht="10.5">
      <c r="A108" s="1" t="s">
        <v>661</v>
      </c>
      <c r="B108" s="4">
        <v>15062798</v>
      </c>
      <c r="C108" s="1" t="s">
        <v>281</v>
      </c>
      <c r="D108" s="1" t="s">
        <v>281</v>
      </c>
      <c r="E108" s="7"/>
      <c r="G108" s="1" t="s">
        <v>281</v>
      </c>
      <c r="H108" s="7">
        <v>29</v>
      </c>
      <c r="I108" s="7">
        <v>0</v>
      </c>
      <c r="K108" s="1" t="s">
        <v>444</v>
      </c>
      <c r="L108" s="1" t="s">
        <v>745</v>
      </c>
      <c r="M108" s="333" t="s">
        <v>744</v>
      </c>
      <c r="N108" s="332">
        <v>40505</v>
      </c>
      <c r="O108" s="181">
        <v>2505.4899999999998</v>
      </c>
      <c r="P108" s="184">
        <v>2447.27</v>
      </c>
      <c r="Q108" s="229">
        <v>2678.99</v>
      </c>
      <c r="R108" s="192">
        <v>2725.04</v>
      </c>
      <c r="S108" s="238">
        <v>2532.61</v>
      </c>
      <c r="T108" s="238">
        <v>2420.84</v>
      </c>
      <c r="U108" s="347">
        <v>2437.42</v>
      </c>
      <c r="V108" s="212">
        <v>2053.1999999999998</v>
      </c>
      <c r="W108" s="217">
        <v>1850.03</v>
      </c>
      <c r="X108" s="220">
        <v>1484.84</v>
      </c>
      <c r="Y108" s="304">
        <v>1467.09</v>
      </c>
      <c r="Z108" s="172">
        <v>1376.9</v>
      </c>
      <c r="AA108" s="8">
        <f t="shared" si="11"/>
        <v>25979.720000000005</v>
      </c>
      <c r="AC108" s="31"/>
      <c r="AE108" s="321">
        <f t="shared" si="10"/>
        <v>0</v>
      </c>
      <c r="AF108" s="321">
        <f t="shared" si="13"/>
        <v>0</v>
      </c>
      <c r="AG108" s="321">
        <f t="shared" si="13"/>
        <v>0</v>
      </c>
      <c r="AH108" s="321">
        <f t="shared" si="13"/>
        <v>0</v>
      </c>
      <c r="AI108" s="321">
        <f t="shared" si="13"/>
        <v>0</v>
      </c>
      <c r="AJ108" s="321">
        <f t="shared" si="13"/>
        <v>0</v>
      </c>
      <c r="AK108" s="321">
        <f t="shared" si="13"/>
        <v>0</v>
      </c>
      <c r="AL108" s="321">
        <f t="shared" si="13"/>
        <v>0</v>
      </c>
      <c r="AM108" s="321">
        <f t="shared" si="13"/>
        <v>0</v>
      </c>
      <c r="AN108" s="321">
        <f t="shared" si="13"/>
        <v>1850.03</v>
      </c>
      <c r="AO108" s="321">
        <f t="shared" si="13"/>
        <v>0</v>
      </c>
      <c r="AP108" s="321">
        <f t="shared" si="13"/>
        <v>0</v>
      </c>
      <c r="AQ108" s="321">
        <f t="shared" si="13"/>
        <v>0</v>
      </c>
      <c r="AR108" s="70">
        <f t="shared" si="8"/>
        <v>1850.03</v>
      </c>
    </row>
    <row r="109" spans="1:44" ht="10.5">
      <c r="A109" s="1" t="s">
        <v>660</v>
      </c>
      <c r="B109" s="4">
        <v>15051246</v>
      </c>
      <c r="C109" s="1" t="s">
        <v>91</v>
      </c>
      <c r="D109" s="1" t="s">
        <v>91</v>
      </c>
      <c r="E109" s="338">
        <v>37956</v>
      </c>
      <c r="G109" s="1" t="s">
        <v>790</v>
      </c>
      <c r="H109" s="7">
        <v>108</v>
      </c>
      <c r="I109" s="7">
        <v>1</v>
      </c>
      <c r="J109" s="1" t="s">
        <v>765</v>
      </c>
      <c r="K109" s="1" t="s">
        <v>445</v>
      </c>
      <c r="L109" s="1" t="s">
        <v>745</v>
      </c>
      <c r="M109" s="333" t="s">
        <v>744</v>
      </c>
      <c r="N109" s="332">
        <v>40504</v>
      </c>
      <c r="O109" s="181">
        <v>29692.03</v>
      </c>
      <c r="P109" s="184">
        <v>27500.39</v>
      </c>
      <c r="Q109" s="229">
        <v>29483.95</v>
      </c>
      <c r="R109" s="192">
        <v>34636.14</v>
      </c>
      <c r="S109" s="195">
        <v>24872.45</v>
      </c>
      <c r="T109" s="238">
        <v>15694.83</v>
      </c>
      <c r="U109" s="347">
        <v>17102.169999999998</v>
      </c>
      <c r="V109" s="212">
        <v>20581.650000000001</v>
      </c>
      <c r="W109" s="217">
        <v>26242.48</v>
      </c>
      <c r="X109" s="220">
        <v>33860.26</v>
      </c>
      <c r="Y109" s="304">
        <v>31212.77</v>
      </c>
      <c r="Z109" s="172">
        <v>29142.93</v>
      </c>
      <c r="AA109" s="8">
        <f t="shared" si="11"/>
        <v>320022.05</v>
      </c>
      <c r="AC109" s="31"/>
      <c r="AE109" s="321">
        <f t="shared" si="10"/>
        <v>0</v>
      </c>
      <c r="AF109" s="321">
        <f t="shared" si="13"/>
        <v>0</v>
      </c>
      <c r="AG109" s="321">
        <f t="shared" si="13"/>
        <v>0</v>
      </c>
      <c r="AH109" s="321">
        <f t="shared" si="13"/>
        <v>0</v>
      </c>
      <c r="AI109" s="321">
        <f t="shared" si="13"/>
        <v>0</v>
      </c>
      <c r="AJ109" s="321">
        <f t="shared" si="13"/>
        <v>0</v>
      </c>
      <c r="AK109" s="321">
        <f t="shared" si="13"/>
        <v>0</v>
      </c>
      <c r="AL109" s="321">
        <f t="shared" si="13"/>
        <v>0</v>
      </c>
      <c r="AM109" s="321">
        <f t="shared" si="13"/>
        <v>0</v>
      </c>
      <c r="AN109" s="321">
        <f t="shared" si="13"/>
        <v>26242.48</v>
      </c>
      <c r="AO109" s="321">
        <f t="shared" si="13"/>
        <v>0</v>
      </c>
      <c r="AP109" s="321">
        <f t="shared" si="13"/>
        <v>0</v>
      </c>
      <c r="AQ109" s="321">
        <f t="shared" si="13"/>
        <v>0</v>
      </c>
      <c r="AR109" s="70">
        <f t="shared" si="8"/>
        <v>26242.48</v>
      </c>
    </row>
    <row r="110" spans="1:44" ht="10.5">
      <c r="A110" s="1" t="s">
        <v>704</v>
      </c>
      <c r="B110" s="4">
        <v>15032636</v>
      </c>
      <c r="C110" s="1" t="s">
        <v>624</v>
      </c>
      <c r="D110" s="1" t="s">
        <v>574</v>
      </c>
      <c r="E110" s="7">
        <v>2015</v>
      </c>
      <c r="G110" s="1" t="s">
        <v>574</v>
      </c>
      <c r="H110" s="7">
        <v>107</v>
      </c>
      <c r="I110" s="7">
        <v>1</v>
      </c>
      <c r="J110" s="1" t="s">
        <v>753</v>
      </c>
      <c r="K110" s="1" t="s">
        <v>791</v>
      </c>
      <c r="L110" s="1" t="s">
        <v>745</v>
      </c>
      <c r="M110" s="333" t="s">
        <v>744</v>
      </c>
      <c r="N110" s="332">
        <v>40511</v>
      </c>
      <c r="O110" s="181">
        <v>23951.9</v>
      </c>
      <c r="P110" s="184">
        <v>23531.98</v>
      </c>
      <c r="Q110" s="229">
        <v>24617.11</v>
      </c>
      <c r="R110" s="192">
        <v>29631.13</v>
      </c>
      <c r="S110" s="195">
        <v>20441.13</v>
      </c>
      <c r="T110" s="238">
        <v>17130.11</v>
      </c>
      <c r="U110" s="347">
        <v>17268.599999999999</v>
      </c>
      <c r="V110" s="212">
        <v>18610.080000000002</v>
      </c>
      <c r="W110" s="217">
        <v>23793.7</v>
      </c>
      <c r="X110" s="220">
        <v>28371.33</v>
      </c>
      <c r="Y110" s="304">
        <v>24758.84</v>
      </c>
      <c r="Z110" s="172">
        <v>24268.9</v>
      </c>
      <c r="AA110" s="8">
        <f t="shared" si="11"/>
        <v>276374.81000000006</v>
      </c>
      <c r="AC110" s="31"/>
      <c r="AE110" s="321">
        <f t="shared" si="10"/>
        <v>0</v>
      </c>
      <c r="AF110" s="321">
        <f t="shared" si="13"/>
        <v>0</v>
      </c>
      <c r="AG110" s="321">
        <f t="shared" si="13"/>
        <v>0</v>
      </c>
      <c r="AH110" s="321">
        <f t="shared" si="13"/>
        <v>0</v>
      </c>
      <c r="AI110" s="321">
        <f t="shared" si="13"/>
        <v>0</v>
      </c>
      <c r="AJ110" s="321">
        <f t="shared" si="13"/>
        <v>0</v>
      </c>
      <c r="AK110" s="321">
        <f t="shared" si="13"/>
        <v>0</v>
      </c>
      <c r="AL110" s="321">
        <f t="shared" si="13"/>
        <v>0</v>
      </c>
      <c r="AM110" s="321">
        <f t="shared" si="13"/>
        <v>0</v>
      </c>
      <c r="AN110" s="321">
        <f t="shared" si="13"/>
        <v>0</v>
      </c>
      <c r="AO110" s="321">
        <f t="shared" si="13"/>
        <v>23793.7</v>
      </c>
      <c r="AP110" s="321">
        <f t="shared" si="13"/>
        <v>0</v>
      </c>
      <c r="AQ110" s="321">
        <f t="shared" si="13"/>
        <v>0</v>
      </c>
      <c r="AR110" s="70">
        <f t="shared" ref="AR110:AR121" si="14">+SUM(AE110:AQ110)</f>
        <v>23793.7</v>
      </c>
    </row>
    <row r="111" spans="1:44" ht="10.5">
      <c r="A111" s="1" t="s">
        <v>970</v>
      </c>
      <c r="B111" s="4">
        <v>13032900</v>
      </c>
      <c r="C111" s="1" t="s">
        <v>569</v>
      </c>
      <c r="D111" s="1" t="s">
        <v>568</v>
      </c>
      <c r="K111" s="1" t="s">
        <v>840</v>
      </c>
      <c r="L111" s="1" t="s">
        <v>745</v>
      </c>
      <c r="M111" s="1" t="s">
        <v>744</v>
      </c>
      <c r="N111" s="1">
        <v>40509</v>
      </c>
      <c r="O111" s="181">
        <v>195.7</v>
      </c>
      <c r="P111" s="184">
        <v>125.07</v>
      </c>
      <c r="Q111" s="229">
        <v>201.99</v>
      </c>
      <c r="R111" s="192">
        <v>359.57</v>
      </c>
      <c r="S111" s="195">
        <v>39.270000000000003</v>
      </c>
      <c r="T111" s="238">
        <v>272.43</v>
      </c>
      <c r="U111" s="32"/>
      <c r="V111" s="32"/>
      <c r="W111" s="217">
        <v>38.25</v>
      </c>
      <c r="X111" s="220">
        <v>301.91000000000003</v>
      </c>
      <c r="Y111" s="304">
        <v>303.94</v>
      </c>
      <c r="Z111" s="172">
        <v>93.52</v>
      </c>
      <c r="AA111" s="8">
        <f t="shared" si="11"/>
        <v>1931.65</v>
      </c>
      <c r="AC111" s="31"/>
      <c r="AE111" s="321">
        <f t="shared" si="10"/>
        <v>0</v>
      </c>
      <c r="AF111" s="321">
        <f t="shared" si="13"/>
        <v>0</v>
      </c>
      <c r="AG111" s="321">
        <f t="shared" si="13"/>
        <v>0</v>
      </c>
      <c r="AH111" s="321">
        <f t="shared" si="13"/>
        <v>0</v>
      </c>
      <c r="AI111" s="321">
        <f t="shared" si="13"/>
        <v>0</v>
      </c>
      <c r="AJ111" s="321">
        <f t="shared" si="13"/>
        <v>0</v>
      </c>
      <c r="AK111" s="321">
        <f t="shared" si="13"/>
        <v>0</v>
      </c>
      <c r="AL111" s="321">
        <f t="shared" si="13"/>
        <v>0</v>
      </c>
      <c r="AM111" s="321">
        <f t="shared" si="13"/>
        <v>0</v>
      </c>
      <c r="AN111" s="321">
        <f t="shared" si="13"/>
        <v>0</v>
      </c>
      <c r="AO111" s="321">
        <f t="shared" si="13"/>
        <v>0</v>
      </c>
      <c r="AP111" s="321">
        <f t="shared" si="13"/>
        <v>0</v>
      </c>
      <c r="AQ111" s="321">
        <f t="shared" si="13"/>
        <v>38.25</v>
      </c>
      <c r="AR111" s="70">
        <f t="shared" si="14"/>
        <v>38.25</v>
      </c>
    </row>
    <row r="112" spans="1:44" ht="10.5">
      <c r="A112" s="1" t="s">
        <v>658</v>
      </c>
      <c r="B112" s="4">
        <v>15062403</v>
      </c>
      <c r="C112" s="1" t="s">
        <v>284</v>
      </c>
      <c r="D112" s="1" t="s">
        <v>581</v>
      </c>
      <c r="H112" s="1">
        <v>126</v>
      </c>
      <c r="K112" s="1" t="s">
        <v>453</v>
      </c>
      <c r="L112" s="1" t="s">
        <v>745</v>
      </c>
      <c r="M112" s="333" t="s">
        <v>744</v>
      </c>
      <c r="N112" s="1">
        <v>40517</v>
      </c>
      <c r="O112" s="181">
        <v>7564.12</v>
      </c>
      <c r="P112" s="184">
        <v>7083.65</v>
      </c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8">
        <f t="shared" si="11"/>
        <v>14647.77</v>
      </c>
      <c r="AC112" s="31"/>
      <c r="AE112" s="321">
        <f t="shared" si="10"/>
        <v>0</v>
      </c>
      <c r="AF112" s="321">
        <f t="shared" si="13"/>
        <v>0</v>
      </c>
      <c r="AG112" s="321">
        <f t="shared" si="13"/>
        <v>0</v>
      </c>
      <c r="AH112" s="321">
        <f t="shared" si="13"/>
        <v>0</v>
      </c>
      <c r="AI112" s="321">
        <f t="shared" si="13"/>
        <v>0</v>
      </c>
      <c r="AJ112" s="321">
        <f t="shared" si="13"/>
        <v>0</v>
      </c>
      <c r="AK112" s="321">
        <f t="shared" si="13"/>
        <v>0</v>
      </c>
      <c r="AL112" s="321">
        <f t="shared" si="13"/>
        <v>0</v>
      </c>
      <c r="AM112" s="321">
        <f t="shared" si="13"/>
        <v>0</v>
      </c>
      <c r="AN112" s="321">
        <f t="shared" si="13"/>
        <v>0</v>
      </c>
      <c r="AO112" s="321">
        <f t="shared" si="13"/>
        <v>0</v>
      </c>
      <c r="AP112" s="321">
        <f t="shared" si="13"/>
        <v>0</v>
      </c>
      <c r="AQ112" s="321">
        <f t="shared" si="13"/>
        <v>0</v>
      </c>
      <c r="AR112" s="70">
        <f t="shared" si="14"/>
        <v>0</v>
      </c>
    </row>
    <row r="113" spans="1:44" ht="10.5">
      <c r="A113" s="1" t="s">
        <v>705</v>
      </c>
      <c r="B113" s="4">
        <v>7004900</v>
      </c>
      <c r="C113" s="1" t="s">
        <v>393</v>
      </c>
      <c r="D113" s="1" t="s">
        <v>393</v>
      </c>
      <c r="E113" s="7"/>
      <c r="F113" s="7">
        <v>120</v>
      </c>
      <c r="G113" s="1" t="s">
        <v>285</v>
      </c>
      <c r="H113" s="7">
        <v>25</v>
      </c>
      <c r="I113" s="7">
        <v>0</v>
      </c>
      <c r="K113" s="1" t="s">
        <v>449</v>
      </c>
      <c r="L113" s="1" t="s">
        <v>745</v>
      </c>
      <c r="M113" s="333" t="s">
        <v>744</v>
      </c>
      <c r="N113" s="332">
        <v>40511</v>
      </c>
      <c r="O113" s="181">
        <v>411.57</v>
      </c>
      <c r="P113" s="184">
        <v>457.3</v>
      </c>
      <c r="Q113" s="229">
        <v>451.86</v>
      </c>
      <c r="R113" s="192">
        <v>467.07</v>
      </c>
      <c r="S113" s="195">
        <v>435.63</v>
      </c>
      <c r="T113" s="238">
        <v>447.53</v>
      </c>
      <c r="U113" s="347">
        <v>439.03</v>
      </c>
      <c r="V113" s="212">
        <v>433.93</v>
      </c>
      <c r="W113" s="217">
        <v>468.44</v>
      </c>
      <c r="X113" s="220">
        <v>500.65</v>
      </c>
      <c r="Y113" s="304">
        <v>453.05</v>
      </c>
      <c r="Z113" s="172">
        <v>401.63</v>
      </c>
      <c r="AA113" s="8">
        <f t="shared" si="11"/>
        <v>5367.69</v>
      </c>
      <c r="AC113" s="31"/>
      <c r="AE113" s="321">
        <f t="shared" si="10"/>
        <v>0</v>
      </c>
      <c r="AF113" s="321">
        <f t="shared" si="13"/>
        <v>0</v>
      </c>
      <c r="AG113" s="321">
        <f t="shared" si="13"/>
        <v>0</v>
      </c>
      <c r="AH113" s="321">
        <f t="shared" si="13"/>
        <v>0</v>
      </c>
      <c r="AI113" s="321">
        <f t="shared" si="13"/>
        <v>0</v>
      </c>
      <c r="AJ113" s="321">
        <f t="shared" si="13"/>
        <v>0</v>
      </c>
      <c r="AK113" s="321">
        <f t="shared" si="13"/>
        <v>0</v>
      </c>
      <c r="AL113" s="321">
        <f t="shared" si="13"/>
        <v>0</v>
      </c>
      <c r="AM113" s="321">
        <f t="shared" si="13"/>
        <v>0</v>
      </c>
      <c r="AN113" s="321">
        <f t="shared" si="13"/>
        <v>0</v>
      </c>
      <c r="AO113" s="321">
        <f t="shared" si="13"/>
        <v>468.44</v>
      </c>
      <c r="AP113" s="321">
        <f t="shared" si="13"/>
        <v>0</v>
      </c>
      <c r="AQ113" s="321">
        <f t="shared" si="13"/>
        <v>0</v>
      </c>
      <c r="AR113" s="70">
        <f t="shared" si="14"/>
        <v>468.44</v>
      </c>
    </row>
    <row r="114" spans="1:44" ht="10.5">
      <c r="A114" s="1" t="s">
        <v>659</v>
      </c>
      <c r="B114" s="4">
        <v>15054341</v>
      </c>
      <c r="C114" s="1" t="s">
        <v>669</v>
      </c>
      <c r="D114" s="1" t="s">
        <v>502</v>
      </c>
      <c r="E114" s="7">
        <v>1990</v>
      </c>
      <c r="G114" s="1" t="s">
        <v>502</v>
      </c>
      <c r="H114" s="7">
        <v>62</v>
      </c>
      <c r="I114" s="7">
        <v>0</v>
      </c>
      <c r="J114" s="1" t="s">
        <v>776</v>
      </c>
      <c r="K114" s="1" t="s">
        <v>447</v>
      </c>
      <c r="L114" s="1" t="s">
        <v>745</v>
      </c>
      <c r="M114" s="333" t="s">
        <v>744</v>
      </c>
      <c r="N114" s="332">
        <v>40505</v>
      </c>
      <c r="O114" s="181">
        <v>6073.21</v>
      </c>
      <c r="P114" s="184">
        <v>4396.1000000000004</v>
      </c>
      <c r="Q114" s="229">
        <v>5107.67</v>
      </c>
      <c r="R114" s="192">
        <v>6279.68</v>
      </c>
      <c r="S114" s="195">
        <v>4275.8</v>
      </c>
      <c r="T114" s="238">
        <v>3209.39</v>
      </c>
      <c r="U114" s="347">
        <v>2639.66</v>
      </c>
      <c r="V114" s="212">
        <v>2908.97</v>
      </c>
      <c r="W114" s="217">
        <v>4903.34</v>
      </c>
      <c r="X114" s="220">
        <v>5915.06</v>
      </c>
      <c r="Y114" s="304">
        <v>5494.12</v>
      </c>
      <c r="Z114" s="172">
        <v>4706.22</v>
      </c>
      <c r="AA114" s="8">
        <f t="shared" si="11"/>
        <v>55909.220000000008</v>
      </c>
      <c r="AB114" s="8"/>
      <c r="AC114" s="8"/>
      <c r="AE114" s="321">
        <f t="shared" si="10"/>
        <v>0</v>
      </c>
      <c r="AF114" s="321">
        <f t="shared" si="13"/>
        <v>0</v>
      </c>
      <c r="AG114" s="321">
        <f t="shared" si="13"/>
        <v>0</v>
      </c>
      <c r="AH114" s="321">
        <f t="shared" si="13"/>
        <v>0</v>
      </c>
      <c r="AI114" s="321">
        <f t="shared" si="13"/>
        <v>0</v>
      </c>
      <c r="AJ114" s="321">
        <f t="shared" si="13"/>
        <v>0</v>
      </c>
      <c r="AK114" s="321">
        <f t="shared" si="13"/>
        <v>0</v>
      </c>
      <c r="AL114" s="321">
        <f t="shared" si="13"/>
        <v>0</v>
      </c>
      <c r="AM114" s="321">
        <f t="shared" si="13"/>
        <v>4903.34</v>
      </c>
      <c r="AN114" s="321">
        <f t="shared" si="13"/>
        <v>0</v>
      </c>
      <c r="AO114" s="321">
        <f t="shared" si="13"/>
        <v>0</v>
      </c>
      <c r="AP114" s="321">
        <f t="shared" si="13"/>
        <v>0</v>
      </c>
      <c r="AQ114" s="321">
        <f t="shared" si="13"/>
        <v>0</v>
      </c>
      <c r="AR114" s="70">
        <f t="shared" si="14"/>
        <v>4903.34</v>
      </c>
    </row>
    <row r="115" spans="1:44" ht="10.5">
      <c r="A115" s="1" t="s">
        <v>659</v>
      </c>
      <c r="B115" s="4">
        <v>15060725</v>
      </c>
      <c r="C115" s="1" t="s">
        <v>846</v>
      </c>
      <c r="D115" s="1" t="s">
        <v>846</v>
      </c>
      <c r="E115" s="7"/>
      <c r="H115" s="7"/>
      <c r="I115" s="7"/>
      <c r="M115" s="333"/>
      <c r="N115" s="332"/>
      <c r="O115" s="181">
        <v>10308.69</v>
      </c>
      <c r="P115" s="184">
        <v>6653.97</v>
      </c>
      <c r="Q115" s="229">
        <v>7641.51</v>
      </c>
      <c r="R115" s="238">
        <v>1044.77</v>
      </c>
      <c r="S115" s="195">
        <v>5888.87</v>
      </c>
      <c r="T115" s="238">
        <v>4992.63</v>
      </c>
      <c r="U115" s="347">
        <v>3852.49</v>
      </c>
      <c r="V115" s="212">
        <v>4052.02</v>
      </c>
      <c r="W115" s="217">
        <v>7561.93</v>
      </c>
      <c r="X115" s="220">
        <v>9500.31</v>
      </c>
      <c r="Y115" s="304">
        <v>9672.8700000000008</v>
      </c>
      <c r="Z115" s="172">
        <v>8349.06</v>
      </c>
      <c r="AA115" s="8">
        <f t="shared" si="11"/>
        <v>79519.119999999981</v>
      </c>
      <c r="AB115" s="8"/>
      <c r="AC115" s="8"/>
      <c r="AE115" s="321">
        <f t="shared" si="10"/>
        <v>0</v>
      </c>
      <c r="AF115" s="321">
        <f t="shared" si="13"/>
        <v>0</v>
      </c>
      <c r="AG115" s="321">
        <f t="shared" si="13"/>
        <v>0</v>
      </c>
      <c r="AH115" s="321">
        <f t="shared" si="13"/>
        <v>0</v>
      </c>
      <c r="AI115" s="321">
        <f t="shared" si="13"/>
        <v>0</v>
      </c>
      <c r="AJ115" s="321">
        <f t="shared" si="13"/>
        <v>0</v>
      </c>
      <c r="AK115" s="321">
        <f t="shared" si="13"/>
        <v>0</v>
      </c>
      <c r="AL115" s="321">
        <f t="shared" si="13"/>
        <v>0</v>
      </c>
      <c r="AM115" s="321">
        <f t="shared" si="13"/>
        <v>7561.93</v>
      </c>
      <c r="AN115" s="321">
        <f t="shared" si="13"/>
        <v>0</v>
      </c>
      <c r="AO115" s="321">
        <f t="shared" si="13"/>
        <v>0</v>
      </c>
      <c r="AP115" s="321">
        <f t="shared" si="13"/>
        <v>0</v>
      </c>
      <c r="AQ115" s="321">
        <f t="shared" si="13"/>
        <v>0</v>
      </c>
      <c r="AR115" s="70">
        <f t="shared" si="14"/>
        <v>7561.93</v>
      </c>
    </row>
    <row r="116" spans="1:44" ht="10.5">
      <c r="A116" s="1" t="s">
        <v>664</v>
      </c>
      <c r="B116" s="4">
        <v>15051606</v>
      </c>
      <c r="C116" s="1" t="s">
        <v>639</v>
      </c>
      <c r="D116" s="1" t="s">
        <v>518</v>
      </c>
      <c r="E116" s="7">
        <v>1951</v>
      </c>
      <c r="F116" s="7">
        <v>125</v>
      </c>
      <c r="G116" s="1" t="s">
        <v>750</v>
      </c>
      <c r="H116" s="7">
        <v>250</v>
      </c>
      <c r="I116" s="7">
        <v>15</v>
      </c>
      <c r="J116" s="1" t="s">
        <v>751</v>
      </c>
      <c r="K116" s="1" t="s">
        <v>450</v>
      </c>
      <c r="L116" s="1" t="s">
        <v>745</v>
      </c>
      <c r="M116" s="333" t="s">
        <v>744</v>
      </c>
      <c r="N116" s="332">
        <v>40504</v>
      </c>
      <c r="O116" s="181">
        <v>44212.76</v>
      </c>
      <c r="P116" s="184">
        <v>28627.11</v>
      </c>
      <c r="Q116" s="229">
        <v>40729.43</v>
      </c>
      <c r="R116" s="192">
        <v>70831.25</v>
      </c>
      <c r="S116" s="195">
        <v>31523.8</v>
      </c>
      <c r="T116" s="238">
        <v>18560.099999999999</v>
      </c>
      <c r="U116" s="347">
        <v>15021.96</v>
      </c>
      <c r="V116" s="212">
        <v>21550.44</v>
      </c>
      <c r="W116" s="217">
        <v>33964.839999999997</v>
      </c>
      <c r="X116" s="220">
        <v>52443.01</v>
      </c>
      <c r="Y116" s="304">
        <v>52254.61</v>
      </c>
      <c r="Z116" s="259">
        <v>33727.53</v>
      </c>
      <c r="AA116" s="8">
        <f t="shared" si="11"/>
        <v>443446.83999999997</v>
      </c>
      <c r="AB116" s="325"/>
      <c r="AC116" s="326"/>
      <c r="AE116" s="321">
        <f t="shared" si="10"/>
        <v>0</v>
      </c>
      <c r="AF116" s="321">
        <f t="shared" si="13"/>
        <v>0</v>
      </c>
      <c r="AG116" s="321">
        <f t="shared" si="13"/>
        <v>0</v>
      </c>
      <c r="AH116" s="321">
        <f t="shared" si="13"/>
        <v>0</v>
      </c>
      <c r="AI116" s="321">
        <f t="shared" si="13"/>
        <v>0</v>
      </c>
      <c r="AJ116" s="321">
        <f t="shared" si="13"/>
        <v>0</v>
      </c>
      <c r="AK116" s="321">
        <f t="shared" si="13"/>
        <v>0</v>
      </c>
      <c r="AL116" s="321">
        <f t="shared" si="13"/>
        <v>0</v>
      </c>
      <c r="AM116" s="321">
        <f t="shared" si="13"/>
        <v>0</v>
      </c>
      <c r="AN116" s="321">
        <f t="shared" si="13"/>
        <v>33964.839999999997</v>
      </c>
      <c r="AO116" s="321">
        <f t="shared" si="13"/>
        <v>0</v>
      </c>
      <c r="AP116" s="321">
        <f t="shared" si="13"/>
        <v>0</v>
      </c>
      <c r="AQ116" s="321">
        <f t="shared" si="13"/>
        <v>0</v>
      </c>
      <c r="AR116" s="70">
        <f t="shared" si="14"/>
        <v>33964.839999999997</v>
      </c>
    </row>
    <row r="117" spans="1:44" ht="10.5">
      <c r="A117" s="1" t="s">
        <v>970</v>
      </c>
      <c r="B117" s="4">
        <v>15063098</v>
      </c>
      <c r="D117" s="1" t="s">
        <v>884</v>
      </c>
      <c r="O117" s="238">
        <v>100.9</v>
      </c>
      <c r="P117" s="238">
        <v>72.34</v>
      </c>
      <c r="Q117" s="238">
        <v>119.39</v>
      </c>
      <c r="R117" s="347">
        <v>321.73</v>
      </c>
      <c r="S117" s="347">
        <v>102</v>
      </c>
      <c r="T117" s="32"/>
      <c r="U117" s="32"/>
      <c r="V117" s="32"/>
      <c r="W117" s="220">
        <v>68</v>
      </c>
      <c r="X117" s="32"/>
      <c r="Y117" s="32"/>
      <c r="Z117" s="32"/>
      <c r="AA117" s="8">
        <f t="shared" si="11"/>
        <v>784.36</v>
      </c>
      <c r="AC117" s="32"/>
      <c r="AE117" s="321">
        <f t="shared" si="10"/>
        <v>0</v>
      </c>
      <c r="AF117" s="321">
        <f t="shared" si="13"/>
        <v>0</v>
      </c>
      <c r="AG117" s="321">
        <f t="shared" si="13"/>
        <v>0</v>
      </c>
      <c r="AH117" s="321">
        <f t="shared" si="13"/>
        <v>0</v>
      </c>
      <c r="AI117" s="321">
        <f t="shared" si="13"/>
        <v>0</v>
      </c>
      <c r="AJ117" s="321">
        <f t="shared" si="13"/>
        <v>0</v>
      </c>
      <c r="AK117" s="321">
        <f t="shared" si="13"/>
        <v>0</v>
      </c>
      <c r="AL117" s="321">
        <f t="shared" si="13"/>
        <v>0</v>
      </c>
      <c r="AM117" s="321">
        <f t="shared" si="13"/>
        <v>0</v>
      </c>
      <c r="AN117" s="321">
        <f t="shared" si="13"/>
        <v>0</v>
      </c>
      <c r="AO117" s="321">
        <f t="shared" si="13"/>
        <v>0</v>
      </c>
      <c r="AP117" s="321">
        <f t="shared" si="13"/>
        <v>0</v>
      </c>
      <c r="AQ117" s="321">
        <f t="shared" si="13"/>
        <v>68</v>
      </c>
      <c r="AR117" s="70">
        <f t="shared" si="14"/>
        <v>68</v>
      </c>
    </row>
    <row r="118" spans="1:44" ht="10.5">
      <c r="A118" s="1" t="s">
        <v>970</v>
      </c>
      <c r="B118" s="4">
        <v>7009800</v>
      </c>
      <c r="C118" s="1" t="s">
        <v>113</v>
      </c>
      <c r="D118" s="1" t="s">
        <v>102</v>
      </c>
      <c r="K118" s="1" t="s">
        <v>839</v>
      </c>
      <c r="L118" s="1" t="s">
        <v>745</v>
      </c>
      <c r="M118" s="1" t="s">
        <v>744</v>
      </c>
      <c r="N118" s="1">
        <v>40508</v>
      </c>
      <c r="O118" s="181">
        <v>1006.4</v>
      </c>
      <c r="P118" s="184">
        <v>364.22</v>
      </c>
      <c r="Q118" s="229">
        <v>378.25</v>
      </c>
      <c r="R118" s="32"/>
      <c r="S118" s="195">
        <v>885.1</v>
      </c>
      <c r="T118" s="238">
        <v>82.88</v>
      </c>
      <c r="U118" s="32"/>
      <c r="V118" s="212">
        <v>223.12</v>
      </c>
      <c r="W118" s="217">
        <v>82.88</v>
      </c>
      <c r="X118" s="220">
        <v>300.89999999999998</v>
      </c>
      <c r="Y118" s="304">
        <v>377.4</v>
      </c>
      <c r="Z118" s="172">
        <v>323</v>
      </c>
      <c r="AA118" s="8">
        <f t="shared" si="11"/>
        <v>4024.15</v>
      </c>
      <c r="AC118" s="32"/>
      <c r="AE118" s="321">
        <f t="shared" si="10"/>
        <v>0</v>
      </c>
      <c r="AF118" s="321">
        <f t="shared" si="13"/>
        <v>0</v>
      </c>
      <c r="AG118" s="321">
        <f t="shared" si="13"/>
        <v>0</v>
      </c>
      <c r="AH118" s="321">
        <f t="shared" si="13"/>
        <v>0</v>
      </c>
      <c r="AI118" s="321">
        <f t="shared" si="13"/>
        <v>0</v>
      </c>
      <c r="AJ118" s="321">
        <f t="shared" si="13"/>
        <v>0</v>
      </c>
      <c r="AK118" s="321">
        <f t="shared" si="13"/>
        <v>0</v>
      </c>
      <c r="AL118" s="321">
        <f t="shared" si="13"/>
        <v>0</v>
      </c>
      <c r="AM118" s="321">
        <f t="shared" si="13"/>
        <v>0</v>
      </c>
      <c r="AN118" s="321">
        <f t="shared" si="13"/>
        <v>0</v>
      </c>
      <c r="AO118" s="321">
        <f t="shared" si="13"/>
        <v>0</v>
      </c>
      <c r="AP118" s="321">
        <f t="shared" si="13"/>
        <v>0</v>
      </c>
      <c r="AQ118" s="321">
        <f t="shared" si="13"/>
        <v>82.88</v>
      </c>
      <c r="AR118" s="70">
        <f t="shared" si="14"/>
        <v>82.88</v>
      </c>
    </row>
    <row r="119" spans="1:44" ht="10.5">
      <c r="A119" s="1" t="s">
        <v>531</v>
      </c>
      <c r="B119" s="4">
        <v>15059549</v>
      </c>
      <c r="D119" s="1" t="s">
        <v>856</v>
      </c>
      <c r="E119" s="7"/>
      <c r="H119" s="7"/>
      <c r="I119" s="7"/>
      <c r="M119" s="333"/>
      <c r="N119" s="332"/>
      <c r="O119" s="181">
        <v>7251.77</v>
      </c>
      <c r="P119" s="184">
        <v>8110.02</v>
      </c>
      <c r="Q119" s="229">
        <v>11124.23</v>
      </c>
      <c r="R119" s="192">
        <v>18880.080000000002</v>
      </c>
      <c r="S119" s="195">
        <v>12286.94</v>
      </c>
      <c r="T119" s="238">
        <v>7924.21</v>
      </c>
      <c r="U119" s="347">
        <v>7839.12</v>
      </c>
      <c r="V119" s="212">
        <v>8522.17</v>
      </c>
      <c r="W119" s="217">
        <v>11190.07</v>
      </c>
      <c r="X119" s="220">
        <v>15570.18</v>
      </c>
      <c r="Y119" s="304">
        <v>15524.18</v>
      </c>
      <c r="Z119" s="172">
        <v>11409.26</v>
      </c>
      <c r="AA119" s="8">
        <f t="shared" si="11"/>
        <v>135632.23000000001</v>
      </c>
      <c r="AC119" s="32"/>
      <c r="AE119" s="321">
        <f t="shared" si="10"/>
        <v>0</v>
      </c>
      <c r="AF119" s="321">
        <f t="shared" si="13"/>
        <v>0</v>
      </c>
      <c r="AG119" s="321">
        <f t="shared" si="13"/>
        <v>0</v>
      </c>
      <c r="AH119" s="321">
        <f t="shared" si="13"/>
        <v>11190.07</v>
      </c>
      <c r="AI119" s="321">
        <f t="shared" si="13"/>
        <v>0</v>
      </c>
      <c r="AJ119" s="321">
        <f t="shared" ref="AF119:AQ129" si="15">+IF($A119=AJ$2,$W119,0)</f>
        <v>0</v>
      </c>
      <c r="AK119" s="321">
        <f t="shared" si="15"/>
        <v>0</v>
      </c>
      <c r="AL119" s="321">
        <f t="shared" si="15"/>
        <v>0</v>
      </c>
      <c r="AM119" s="321">
        <f t="shared" si="15"/>
        <v>0</v>
      </c>
      <c r="AN119" s="321">
        <f t="shared" si="15"/>
        <v>0</v>
      </c>
      <c r="AO119" s="321">
        <f t="shared" si="15"/>
        <v>0</v>
      </c>
      <c r="AP119" s="321">
        <f t="shared" si="15"/>
        <v>0</v>
      </c>
      <c r="AQ119" s="321">
        <f t="shared" si="15"/>
        <v>0</v>
      </c>
      <c r="AR119" s="70">
        <f t="shared" si="14"/>
        <v>11190.07</v>
      </c>
    </row>
    <row r="120" spans="1:44" ht="10.5">
      <c r="A120" s="1" t="s">
        <v>530</v>
      </c>
      <c r="B120" s="4">
        <v>15036275</v>
      </c>
      <c r="C120" s="1" t="s">
        <v>645</v>
      </c>
      <c r="D120" s="1" t="s">
        <v>590</v>
      </c>
      <c r="E120" s="7">
        <v>2015</v>
      </c>
      <c r="G120" s="1" t="s">
        <v>589</v>
      </c>
      <c r="H120" s="7">
        <v>99</v>
      </c>
      <c r="I120" s="7">
        <v>1</v>
      </c>
      <c r="J120" s="1" t="s">
        <v>765</v>
      </c>
      <c r="K120" s="1" t="s">
        <v>828</v>
      </c>
      <c r="L120" s="1" t="s">
        <v>745</v>
      </c>
      <c r="M120" s="333" t="s">
        <v>744</v>
      </c>
      <c r="N120" s="332">
        <v>40509</v>
      </c>
      <c r="O120" s="181">
        <v>21122.639999999999</v>
      </c>
      <c r="P120" s="184">
        <v>16908.14</v>
      </c>
      <c r="Q120" s="229">
        <v>17472.509999999998</v>
      </c>
      <c r="R120" s="192">
        <v>24227.67</v>
      </c>
      <c r="S120" s="195">
        <v>15681.12</v>
      </c>
      <c r="T120" s="238">
        <v>10136.56</v>
      </c>
      <c r="U120" s="347">
        <v>9928.32</v>
      </c>
      <c r="V120" s="220">
        <v>12244.67</v>
      </c>
      <c r="W120" s="217">
        <v>19476.990000000002</v>
      </c>
      <c r="X120" s="220">
        <v>23818.02</v>
      </c>
      <c r="Y120" s="304">
        <v>23131.35</v>
      </c>
      <c r="Z120" s="172">
        <v>22249.16</v>
      </c>
      <c r="AA120" s="8">
        <f t="shared" si="11"/>
        <v>216397.15</v>
      </c>
      <c r="AC120" s="32"/>
      <c r="AE120" s="321">
        <f t="shared" ref="AE120:AE129" si="16">+IF($A120=AE$2,$W120,0)</f>
        <v>0</v>
      </c>
      <c r="AF120" s="321">
        <f t="shared" si="15"/>
        <v>0</v>
      </c>
      <c r="AG120" s="321">
        <f t="shared" si="15"/>
        <v>0</v>
      </c>
      <c r="AH120" s="321">
        <f t="shared" si="15"/>
        <v>0</v>
      </c>
      <c r="AI120" s="321">
        <f t="shared" si="15"/>
        <v>19476.990000000002</v>
      </c>
      <c r="AJ120" s="321">
        <f t="shared" si="15"/>
        <v>0</v>
      </c>
      <c r="AK120" s="321">
        <f t="shared" si="15"/>
        <v>0</v>
      </c>
      <c r="AL120" s="321">
        <f t="shared" si="15"/>
        <v>0</v>
      </c>
      <c r="AM120" s="321">
        <f t="shared" si="15"/>
        <v>0</v>
      </c>
      <c r="AN120" s="321">
        <f t="shared" si="15"/>
        <v>0</v>
      </c>
      <c r="AO120" s="321">
        <f t="shared" si="15"/>
        <v>0</v>
      </c>
      <c r="AP120" s="321">
        <f t="shared" si="15"/>
        <v>0</v>
      </c>
      <c r="AQ120" s="321">
        <f t="shared" si="15"/>
        <v>0</v>
      </c>
      <c r="AR120" s="70">
        <f t="shared" si="14"/>
        <v>19476.990000000002</v>
      </c>
    </row>
    <row r="121" spans="1:44" ht="10.5">
      <c r="A121" s="1" t="s">
        <v>537</v>
      </c>
      <c r="B121" s="4">
        <v>15055052</v>
      </c>
      <c r="C121" s="1" t="s">
        <v>590</v>
      </c>
      <c r="D121" s="1" t="s">
        <v>590</v>
      </c>
      <c r="E121" s="7"/>
      <c r="H121" s="7"/>
      <c r="I121" s="7"/>
      <c r="M121" s="333"/>
      <c r="N121" s="332"/>
      <c r="O121" s="181">
        <v>22251.22</v>
      </c>
      <c r="P121" s="184">
        <v>18853.490000000002</v>
      </c>
      <c r="Q121" s="229">
        <v>18937.009999999998</v>
      </c>
      <c r="R121" s="192">
        <v>22781.74</v>
      </c>
      <c r="S121" s="195">
        <v>17822.689999999999</v>
      </c>
      <c r="T121" s="238">
        <v>12381.15</v>
      </c>
      <c r="U121" s="347">
        <v>12389.97</v>
      </c>
      <c r="V121" s="212">
        <v>12902.93</v>
      </c>
      <c r="W121" s="217">
        <v>18213.060000000001</v>
      </c>
      <c r="X121" s="220">
        <v>25552.61</v>
      </c>
      <c r="Y121" s="304">
        <v>20670.55</v>
      </c>
      <c r="Z121" s="172">
        <v>18732.73</v>
      </c>
      <c r="AA121" s="8">
        <f t="shared" si="11"/>
        <v>221489.15</v>
      </c>
      <c r="AC121" s="32"/>
      <c r="AE121" s="321">
        <f t="shared" si="16"/>
        <v>0</v>
      </c>
      <c r="AF121" s="321">
        <f t="shared" si="15"/>
        <v>18213.060000000001</v>
      </c>
      <c r="AG121" s="321">
        <f t="shared" si="15"/>
        <v>0</v>
      </c>
      <c r="AH121" s="321">
        <f t="shared" si="15"/>
        <v>0</v>
      </c>
      <c r="AI121" s="321">
        <f t="shared" si="15"/>
        <v>0</v>
      </c>
      <c r="AJ121" s="321">
        <f t="shared" si="15"/>
        <v>0</v>
      </c>
      <c r="AK121" s="321">
        <f t="shared" si="15"/>
        <v>0</v>
      </c>
      <c r="AL121" s="321">
        <f t="shared" si="15"/>
        <v>0</v>
      </c>
      <c r="AM121" s="321">
        <f t="shared" si="15"/>
        <v>0</v>
      </c>
      <c r="AN121" s="321">
        <f t="shared" si="15"/>
        <v>0</v>
      </c>
      <c r="AO121" s="321">
        <f t="shared" si="15"/>
        <v>0</v>
      </c>
      <c r="AP121" s="321">
        <f t="shared" si="15"/>
        <v>0</v>
      </c>
      <c r="AQ121" s="321">
        <f t="shared" si="15"/>
        <v>0</v>
      </c>
      <c r="AR121" s="70">
        <f t="shared" si="14"/>
        <v>18213.060000000001</v>
      </c>
    </row>
    <row r="122" spans="1:44" ht="10.5">
      <c r="A122" s="1" t="s">
        <v>664</v>
      </c>
      <c r="B122" s="42">
        <v>7007701</v>
      </c>
      <c r="C122" s="11" t="s">
        <v>98</v>
      </c>
      <c r="D122" s="11" t="s">
        <v>98</v>
      </c>
      <c r="E122" s="11"/>
      <c r="F122" s="340">
        <v>122</v>
      </c>
      <c r="G122" s="11"/>
      <c r="H122" s="11"/>
      <c r="I122" s="11"/>
      <c r="J122" s="11"/>
      <c r="K122" s="11" t="s">
        <v>841</v>
      </c>
      <c r="L122" s="1" t="s">
        <v>745</v>
      </c>
      <c r="M122" s="333" t="s">
        <v>744</v>
      </c>
      <c r="N122" s="340">
        <v>40503</v>
      </c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8">
        <f t="shared" si="11"/>
        <v>0</v>
      </c>
      <c r="AC122" s="32"/>
      <c r="AE122" s="321">
        <f t="shared" si="16"/>
        <v>0</v>
      </c>
      <c r="AF122" s="321">
        <f t="shared" si="15"/>
        <v>0</v>
      </c>
      <c r="AG122" s="321">
        <f t="shared" si="15"/>
        <v>0</v>
      </c>
      <c r="AH122" s="321">
        <f t="shared" si="15"/>
        <v>0</v>
      </c>
      <c r="AI122" s="321">
        <f t="shared" si="15"/>
        <v>0</v>
      </c>
      <c r="AJ122" s="321">
        <f t="shared" si="15"/>
        <v>0</v>
      </c>
      <c r="AK122" s="321">
        <f t="shared" si="15"/>
        <v>0</v>
      </c>
      <c r="AL122" s="321">
        <f t="shared" si="15"/>
        <v>0</v>
      </c>
      <c r="AM122" s="321">
        <f t="shared" si="15"/>
        <v>0</v>
      </c>
      <c r="AN122" s="321">
        <f t="shared" si="15"/>
        <v>0</v>
      </c>
      <c r="AO122" s="321">
        <f t="shared" si="15"/>
        <v>0</v>
      </c>
      <c r="AP122" s="321">
        <f t="shared" si="15"/>
        <v>0</v>
      </c>
      <c r="AQ122" s="321">
        <f t="shared" si="15"/>
        <v>0</v>
      </c>
      <c r="AR122" s="70">
        <f t="shared" ref="AR122:AR127" si="17">+SUM(AE122:AQ122)</f>
        <v>0</v>
      </c>
    </row>
    <row r="123" spans="1:44" ht="10.5">
      <c r="A123" s="1" t="s">
        <v>970</v>
      </c>
      <c r="B123" s="4">
        <v>15052394</v>
      </c>
      <c r="C123" s="1" t="s">
        <v>698</v>
      </c>
      <c r="D123" s="1" t="s">
        <v>698</v>
      </c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8">
        <f t="shared" si="11"/>
        <v>0</v>
      </c>
      <c r="AC123" s="32"/>
      <c r="AE123" s="321">
        <f t="shared" si="16"/>
        <v>0</v>
      </c>
      <c r="AF123" s="321">
        <f t="shared" si="15"/>
        <v>0</v>
      </c>
      <c r="AG123" s="321">
        <f t="shared" si="15"/>
        <v>0</v>
      </c>
      <c r="AH123" s="321">
        <f t="shared" si="15"/>
        <v>0</v>
      </c>
      <c r="AI123" s="321">
        <f t="shared" si="15"/>
        <v>0</v>
      </c>
      <c r="AJ123" s="321">
        <f t="shared" si="15"/>
        <v>0</v>
      </c>
      <c r="AK123" s="321">
        <f t="shared" si="15"/>
        <v>0</v>
      </c>
      <c r="AL123" s="321">
        <f t="shared" si="15"/>
        <v>0</v>
      </c>
      <c r="AM123" s="321">
        <f t="shared" si="15"/>
        <v>0</v>
      </c>
      <c r="AN123" s="321">
        <f t="shared" si="15"/>
        <v>0</v>
      </c>
      <c r="AO123" s="321">
        <f t="shared" si="15"/>
        <v>0</v>
      </c>
      <c r="AP123" s="321">
        <f t="shared" si="15"/>
        <v>0</v>
      </c>
      <c r="AQ123" s="321">
        <f t="shared" si="15"/>
        <v>0</v>
      </c>
      <c r="AR123" s="70">
        <f t="shared" si="17"/>
        <v>0</v>
      </c>
    </row>
    <row r="124" spans="1:44" ht="10.5">
      <c r="A124" s="1" t="s">
        <v>970</v>
      </c>
      <c r="B124" s="4">
        <v>15055103</v>
      </c>
      <c r="C124" s="1" t="s">
        <v>693</v>
      </c>
      <c r="D124" s="1" t="s">
        <v>693</v>
      </c>
      <c r="O124" s="32"/>
      <c r="P124" s="32"/>
      <c r="Q124" s="32"/>
      <c r="R124" s="32"/>
      <c r="S124" s="195">
        <v>26.24</v>
      </c>
      <c r="T124" s="32"/>
      <c r="U124" s="32"/>
      <c r="V124" s="32"/>
      <c r="W124" s="32"/>
      <c r="X124" s="32"/>
      <c r="Y124" s="32"/>
      <c r="Z124" s="32"/>
      <c r="AA124" s="8">
        <f t="shared" si="11"/>
        <v>26.24</v>
      </c>
      <c r="AC124" s="32"/>
      <c r="AE124" s="321">
        <f t="shared" si="16"/>
        <v>0</v>
      </c>
      <c r="AF124" s="321">
        <f t="shared" si="15"/>
        <v>0</v>
      </c>
      <c r="AG124" s="321">
        <f t="shared" si="15"/>
        <v>0</v>
      </c>
      <c r="AH124" s="321">
        <f t="shared" si="15"/>
        <v>0</v>
      </c>
      <c r="AI124" s="321">
        <f t="shared" si="15"/>
        <v>0</v>
      </c>
      <c r="AJ124" s="321">
        <f t="shared" si="15"/>
        <v>0</v>
      </c>
      <c r="AK124" s="321">
        <f t="shared" si="15"/>
        <v>0</v>
      </c>
      <c r="AL124" s="321">
        <f t="shared" si="15"/>
        <v>0</v>
      </c>
      <c r="AM124" s="321">
        <f t="shared" si="15"/>
        <v>0</v>
      </c>
      <c r="AN124" s="321">
        <f t="shared" si="15"/>
        <v>0</v>
      </c>
      <c r="AO124" s="321">
        <f t="shared" si="15"/>
        <v>0</v>
      </c>
      <c r="AP124" s="321">
        <f t="shared" si="15"/>
        <v>0</v>
      </c>
      <c r="AQ124" s="321">
        <f t="shared" si="15"/>
        <v>0</v>
      </c>
      <c r="AR124" s="70">
        <f t="shared" si="17"/>
        <v>0</v>
      </c>
    </row>
    <row r="125" spans="1:44" ht="10.5">
      <c r="A125" s="1" t="s">
        <v>970</v>
      </c>
      <c r="B125" s="4">
        <v>15055433</v>
      </c>
      <c r="C125" s="1" t="s">
        <v>706</v>
      </c>
      <c r="D125" s="1" t="s">
        <v>706</v>
      </c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AA125" s="8">
        <f t="shared" si="11"/>
        <v>0</v>
      </c>
      <c r="AC125" s="32"/>
      <c r="AE125" s="321">
        <f t="shared" si="16"/>
        <v>0</v>
      </c>
      <c r="AF125" s="321">
        <f t="shared" si="15"/>
        <v>0</v>
      </c>
      <c r="AG125" s="321">
        <f t="shared" si="15"/>
        <v>0</v>
      </c>
      <c r="AH125" s="321">
        <f t="shared" si="15"/>
        <v>0</v>
      </c>
      <c r="AI125" s="321">
        <f t="shared" si="15"/>
        <v>0</v>
      </c>
      <c r="AJ125" s="321">
        <f t="shared" si="15"/>
        <v>0</v>
      </c>
      <c r="AK125" s="321">
        <f t="shared" si="15"/>
        <v>0</v>
      </c>
      <c r="AL125" s="321">
        <f t="shared" si="15"/>
        <v>0</v>
      </c>
      <c r="AM125" s="321">
        <f t="shared" si="15"/>
        <v>0</v>
      </c>
      <c r="AN125" s="321">
        <f t="shared" si="15"/>
        <v>0</v>
      </c>
      <c r="AO125" s="321">
        <f t="shared" si="15"/>
        <v>0</v>
      </c>
      <c r="AP125" s="321">
        <f t="shared" si="15"/>
        <v>0</v>
      </c>
      <c r="AQ125" s="321">
        <f t="shared" si="15"/>
        <v>0</v>
      </c>
      <c r="AR125" s="70">
        <f t="shared" si="17"/>
        <v>0</v>
      </c>
    </row>
    <row r="126" spans="1:44" ht="10.5">
      <c r="A126" s="1" t="s">
        <v>970</v>
      </c>
      <c r="B126" s="4">
        <v>15056636</v>
      </c>
      <c r="C126" s="1" t="s">
        <v>712</v>
      </c>
      <c r="D126" s="1" t="s">
        <v>712</v>
      </c>
      <c r="O126" s="179">
        <v>334.31</v>
      </c>
      <c r="P126" s="32"/>
      <c r="Q126" s="32"/>
      <c r="R126" s="192">
        <v>291.98</v>
      </c>
      <c r="S126" s="195">
        <v>63.75</v>
      </c>
      <c r="T126" s="32"/>
      <c r="U126" s="32"/>
      <c r="V126" s="32"/>
      <c r="W126" s="217">
        <v>47.17</v>
      </c>
      <c r="X126" s="220">
        <v>164.14</v>
      </c>
      <c r="Y126" s="304">
        <v>273.27999999999997</v>
      </c>
      <c r="Z126" s="32"/>
      <c r="AA126" s="8">
        <f t="shared" si="11"/>
        <v>1174.6299999999999</v>
      </c>
      <c r="AC126" s="32"/>
      <c r="AE126" s="321">
        <f t="shared" si="16"/>
        <v>0</v>
      </c>
      <c r="AF126" s="321">
        <f t="shared" si="15"/>
        <v>0</v>
      </c>
      <c r="AG126" s="321">
        <f t="shared" si="15"/>
        <v>0</v>
      </c>
      <c r="AH126" s="321">
        <f t="shared" si="15"/>
        <v>0</v>
      </c>
      <c r="AI126" s="321">
        <f t="shared" si="15"/>
        <v>0</v>
      </c>
      <c r="AJ126" s="321">
        <f t="shared" si="15"/>
        <v>0</v>
      </c>
      <c r="AK126" s="321">
        <f t="shared" si="15"/>
        <v>0</v>
      </c>
      <c r="AL126" s="321">
        <f t="shared" si="15"/>
        <v>0</v>
      </c>
      <c r="AM126" s="321">
        <f t="shared" si="15"/>
        <v>0</v>
      </c>
      <c r="AN126" s="321">
        <f t="shared" si="15"/>
        <v>0</v>
      </c>
      <c r="AO126" s="321">
        <f t="shared" si="15"/>
        <v>0</v>
      </c>
      <c r="AP126" s="321">
        <f t="shared" si="15"/>
        <v>0</v>
      </c>
      <c r="AQ126" s="321">
        <f t="shared" si="15"/>
        <v>47.17</v>
      </c>
      <c r="AR126" s="70">
        <f t="shared" si="17"/>
        <v>47.17</v>
      </c>
    </row>
    <row r="127" spans="1:44" ht="10.5">
      <c r="A127" s="1" t="s">
        <v>533</v>
      </c>
      <c r="B127" s="42">
        <v>15055141</v>
      </c>
      <c r="C127" s="11" t="s">
        <v>695</v>
      </c>
      <c r="D127" s="11" t="s">
        <v>695</v>
      </c>
      <c r="E127" s="7">
        <v>2009</v>
      </c>
      <c r="F127" s="340"/>
      <c r="G127" s="1" t="s">
        <v>792</v>
      </c>
      <c r="H127" s="7">
        <v>124</v>
      </c>
      <c r="I127" s="7"/>
      <c r="K127" s="1" t="s">
        <v>433</v>
      </c>
      <c r="L127" s="1" t="s">
        <v>745</v>
      </c>
      <c r="M127" s="333" t="s">
        <v>744</v>
      </c>
      <c r="N127" s="332">
        <v>40502</v>
      </c>
      <c r="O127" s="181">
        <v>11182.73</v>
      </c>
      <c r="P127" s="184">
        <v>12315.42</v>
      </c>
      <c r="Q127" s="229">
        <v>13069.66</v>
      </c>
      <c r="R127" s="192">
        <v>12890.24</v>
      </c>
      <c r="S127" s="195">
        <v>8901.57</v>
      </c>
      <c r="T127" s="241">
        <v>7220.42</v>
      </c>
      <c r="U127" s="375">
        <v>6104.31</v>
      </c>
      <c r="V127" s="247">
        <v>7361.45</v>
      </c>
      <c r="W127" s="249">
        <v>8999.09</v>
      </c>
      <c r="X127" s="253">
        <v>12445.61</v>
      </c>
      <c r="Y127" s="304">
        <v>9732.74</v>
      </c>
      <c r="Z127" s="172">
        <v>9764.01</v>
      </c>
      <c r="AA127" s="8">
        <f t="shared" si="11"/>
        <v>119987.24999999999</v>
      </c>
      <c r="AC127" s="32"/>
      <c r="AE127" s="321">
        <f t="shared" si="16"/>
        <v>0</v>
      </c>
      <c r="AF127" s="321">
        <f t="shared" si="15"/>
        <v>0</v>
      </c>
      <c r="AG127" s="321">
        <f t="shared" si="15"/>
        <v>0</v>
      </c>
      <c r="AH127" s="321">
        <f t="shared" si="15"/>
        <v>0</v>
      </c>
      <c r="AI127" s="321">
        <f t="shared" si="15"/>
        <v>0</v>
      </c>
      <c r="AJ127" s="321">
        <f t="shared" si="15"/>
        <v>0</v>
      </c>
      <c r="AK127" s="321">
        <f t="shared" si="15"/>
        <v>0</v>
      </c>
      <c r="AL127" s="321">
        <f t="shared" si="15"/>
        <v>8999.09</v>
      </c>
      <c r="AM127" s="321">
        <f t="shared" si="15"/>
        <v>0</v>
      </c>
      <c r="AN127" s="321">
        <f t="shared" si="15"/>
        <v>0</v>
      </c>
      <c r="AO127" s="321">
        <f t="shared" si="15"/>
        <v>0</v>
      </c>
      <c r="AP127" s="321">
        <f t="shared" si="15"/>
        <v>0</v>
      </c>
      <c r="AQ127" s="321">
        <f t="shared" si="15"/>
        <v>0</v>
      </c>
      <c r="AR127" s="70">
        <f t="shared" si="17"/>
        <v>8999.09</v>
      </c>
    </row>
    <row r="128" spans="1:44" ht="10.5">
      <c r="A128" s="325"/>
      <c r="B128" s="325"/>
      <c r="C128" s="325" t="s">
        <v>140</v>
      </c>
      <c r="D128" s="325" t="s">
        <v>140</v>
      </c>
      <c r="E128" s="325"/>
      <c r="F128" s="341"/>
      <c r="G128" s="325"/>
      <c r="H128" s="325"/>
      <c r="I128" s="325"/>
      <c r="J128" s="325"/>
      <c r="K128" s="325"/>
      <c r="L128" s="325"/>
      <c r="M128" s="325"/>
      <c r="N128" s="325"/>
      <c r="O128" s="326">
        <f>+SUM(O3:O127)</f>
        <v>1544381.8199999998</v>
      </c>
      <c r="P128" s="326">
        <f t="shared" ref="P128:Y128" si="18">+SUM(P3:P127)</f>
        <v>1390882.5</v>
      </c>
      <c r="Q128" s="326">
        <f t="shared" si="18"/>
        <v>1510379.8499999994</v>
      </c>
      <c r="R128" s="326">
        <f t="shared" si="18"/>
        <v>1874445.82</v>
      </c>
      <c r="S128" s="326">
        <f t="shared" si="18"/>
        <v>1245027.3900000001</v>
      </c>
      <c r="T128" s="326">
        <f t="shared" si="18"/>
        <v>798572.30999999994</v>
      </c>
      <c r="U128" s="326">
        <f t="shared" si="18"/>
        <v>855713.68999999983</v>
      </c>
      <c r="V128" s="326">
        <f t="shared" si="18"/>
        <v>1014706.23</v>
      </c>
      <c r="W128" s="326">
        <f t="shared" si="18"/>
        <v>1385666.3449999997</v>
      </c>
      <c r="X128" s="326">
        <f t="shared" si="18"/>
        <v>1732179.0500000003</v>
      </c>
      <c r="Y128" s="326">
        <f t="shared" si="18"/>
        <v>1682642.6600000008</v>
      </c>
      <c r="Z128" s="68"/>
      <c r="AA128" s="31"/>
      <c r="AC128" s="32"/>
      <c r="AE128" s="321">
        <f t="shared" si="16"/>
        <v>0</v>
      </c>
      <c r="AF128" s="321">
        <f t="shared" si="15"/>
        <v>0</v>
      </c>
      <c r="AG128" s="321">
        <f t="shared" si="15"/>
        <v>0</v>
      </c>
      <c r="AH128" s="321">
        <f t="shared" si="15"/>
        <v>0</v>
      </c>
      <c r="AI128" s="321">
        <f t="shared" si="15"/>
        <v>0</v>
      </c>
      <c r="AJ128" s="321">
        <f t="shared" si="15"/>
        <v>0</v>
      </c>
      <c r="AK128" s="321">
        <f t="shared" si="15"/>
        <v>0</v>
      </c>
      <c r="AL128" s="321">
        <f t="shared" si="15"/>
        <v>0</v>
      </c>
      <c r="AM128" s="321">
        <f t="shared" si="15"/>
        <v>0</v>
      </c>
      <c r="AN128" s="321">
        <f t="shared" si="15"/>
        <v>0</v>
      </c>
      <c r="AO128" s="321">
        <f t="shared" si="15"/>
        <v>0</v>
      </c>
      <c r="AP128" s="321">
        <f t="shared" si="15"/>
        <v>0</v>
      </c>
      <c r="AQ128" s="321">
        <f t="shared" si="15"/>
        <v>0</v>
      </c>
      <c r="AR128" s="70">
        <f>+SUM(AE128:AQ128)</f>
        <v>0</v>
      </c>
    </row>
    <row r="129" spans="1:44" ht="10.5">
      <c r="C129" s="1" t="s">
        <v>348</v>
      </c>
      <c r="D129" s="1" t="s">
        <v>348</v>
      </c>
      <c r="O129" s="68">
        <f>-O4-O18-O34-O61-O64-O71-O78-O89-O90-O117-O26</f>
        <v>-41708.14</v>
      </c>
      <c r="P129" s="68">
        <f>(+P4+P18+P13+P36+P53+P64+P71+P89+P103+P117+P26)*-1</f>
        <v>-54711.3</v>
      </c>
      <c r="Q129" s="68">
        <f>-Q4-Q5-Q8-Q9-Q14-Q15-Q18-Q19-Q23-Q28-Q37-Q41-Q48-Q53-Q55-Q57-Q64-Q66-Q67-Q68-Q71-Q72-Q77-Q82-Q85-Q86-Q89-Q91-Q92-Q93-Q98-Q99-Q104-Q105-Q106-Q112-Q117-Q122-Q123-Q124-Q125-Q126</f>
        <v>-88081.529999999984</v>
      </c>
      <c r="R129" s="68">
        <f>-R125-R124-R123-R118-R117-R115-R112-R105-R104-R103-R99-R98-R91-R89-R86-R85-R83-R82-R78-R77-R75-R74-R72-R71-R64-R63-R55-R53-R48-R47-R41-R37-R26-R22-R20-R19-R18-R15-R9-R8-R4</f>
        <v>-144895.62</v>
      </c>
      <c r="S129" s="68"/>
      <c r="T129" s="68"/>
      <c r="U129" s="68"/>
      <c r="V129" s="68"/>
      <c r="W129" s="68"/>
      <c r="X129" s="68"/>
      <c r="Y129" s="68"/>
      <c r="Z129" s="68"/>
      <c r="AA129" s="31"/>
      <c r="AC129" s="32"/>
      <c r="AE129" s="321">
        <f t="shared" si="16"/>
        <v>0</v>
      </c>
      <c r="AF129" s="321">
        <f t="shared" si="15"/>
        <v>0</v>
      </c>
      <c r="AG129" s="321">
        <f t="shared" si="15"/>
        <v>0</v>
      </c>
      <c r="AH129" s="321">
        <f t="shared" si="15"/>
        <v>0</v>
      </c>
      <c r="AI129" s="321">
        <f t="shared" si="15"/>
        <v>0</v>
      </c>
      <c r="AJ129" s="321">
        <f t="shared" si="15"/>
        <v>0</v>
      </c>
      <c r="AK129" s="321">
        <f t="shared" si="15"/>
        <v>0</v>
      </c>
      <c r="AL129" s="321">
        <f t="shared" si="15"/>
        <v>0</v>
      </c>
      <c r="AM129" s="321">
        <f t="shared" si="15"/>
        <v>0</v>
      </c>
      <c r="AN129" s="321">
        <f t="shared" si="15"/>
        <v>0</v>
      </c>
      <c r="AO129" s="321">
        <f t="shared" si="15"/>
        <v>0</v>
      </c>
      <c r="AP129" s="321">
        <f t="shared" si="15"/>
        <v>0</v>
      </c>
      <c r="AQ129" s="321">
        <f t="shared" si="15"/>
        <v>0</v>
      </c>
      <c r="AR129" s="321">
        <f>+SUM(AR3:AR128)</f>
        <v>1385666.3449999997</v>
      </c>
    </row>
    <row r="130" spans="1:44" ht="10.5">
      <c r="C130" s="1" t="s">
        <v>349</v>
      </c>
      <c r="D130" s="1" t="s">
        <v>349</v>
      </c>
      <c r="O130" s="312">
        <f>'2018'!Y28+'2018'!Z28+'2018'!Y77+647.39+1578.02+2315.55+5982.85</f>
        <v>22361.58</v>
      </c>
      <c r="P130" s="68">
        <f>+O90+O78+O61+O34+'2018'!Z81+1807.14+3031.05+1244.7</f>
        <v>39202.51</v>
      </c>
      <c r="Q130" s="68">
        <f>+P103+P36+P26+O26+'2018'!Z21+4559.5+2668.37</f>
        <v>75523.569999999992</v>
      </c>
      <c r="R130" s="68">
        <f>+Q92+Q68+Q66+Q57+P13</f>
        <v>87798.47</v>
      </c>
      <c r="S130" s="68"/>
      <c r="T130" s="68"/>
      <c r="U130" s="312"/>
      <c r="V130" s="312"/>
      <c r="W130" s="312"/>
      <c r="X130" s="312"/>
      <c r="Y130" s="312"/>
      <c r="Z130" s="312"/>
      <c r="AA130" s="32"/>
      <c r="AC130" s="32"/>
      <c r="AE130" s="321"/>
      <c r="AF130" s="321"/>
      <c r="AG130" s="321"/>
      <c r="AH130" s="321"/>
      <c r="AI130" s="321"/>
      <c r="AJ130" s="321"/>
      <c r="AK130" s="321"/>
      <c r="AL130" s="321"/>
      <c r="AM130" s="321"/>
      <c r="AN130" s="321"/>
      <c r="AO130" s="321"/>
      <c r="AP130" s="321"/>
      <c r="AQ130" s="321"/>
      <c r="AR130" s="321"/>
    </row>
    <row r="131" spans="1:44">
      <c r="C131" s="1" t="s">
        <v>301</v>
      </c>
      <c r="D131" s="1" t="s">
        <v>301</v>
      </c>
      <c r="O131" s="312">
        <f>+SUM(O128:O130)</f>
        <v>1525035.26</v>
      </c>
      <c r="P131" s="312">
        <f>+SUM(P128:P130)</f>
        <v>1375373.71</v>
      </c>
      <c r="Q131" s="312">
        <f>+SUM(Q128:Q130)</f>
        <v>1497821.8899999994</v>
      </c>
      <c r="R131" s="312">
        <f>+SUM(R128:R130)</f>
        <v>1817348.6700000002</v>
      </c>
      <c r="S131" s="312"/>
      <c r="T131" s="312"/>
      <c r="U131" s="312"/>
      <c r="V131" s="312"/>
      <c r="W131" s="312"/>
      <c r="X131" s="312"/>
      <c r="Y131" s="312"/>
      <c r="Z131" s="312"/>
      <c r="AA131" s="32"/>
      <c r="AC131" s="32"/>
      <c r="AR131" s="70"/>
    </row>
    <row r="132" spans="1:44">
      <c r="C132" s="67" t="s">
        <v>304</v>
      </c>
      <c r="D132" s="67" t="s">
        <v>304</v>
      </c>
      <c r="E132" s="67"/>
      <c r="G132" s="67"/>
      <c r="H132" s="67"/>
      <c r="I132" s="67"/>
      <c r="J132" s="67"/>
      <c r="K132" s="67"/>
      <c r="L132" s="67"/>
      <c r="M132" s="67"/>
      <c r="N132" s="67"/>
      <c r="O132" s="312">
        <f>+O$131/0.085*0.04</f>
        <v>717663.65176470578</v>
      </c>
      <c r="P132" s="312">
        <f>+P$131/0.085*0.04</f>
        <v>647234.68705882353</v>
      </c>
      <c r="Q132" s="312">
        <f>+Q$131/0.085*0.04</f>
        <v>704857.35999999975</v>
      </c>
      <c r="R132" s="312">
        <f>+R$131/0.085*0.04</f>
        <v>855222.90352941176</v>
      </c>
      <c r="S132" s="312"/>
      <c r="T132" s="312"/>
      <c r="U132" s="312"/>
      <c r="V132" s="68"/>
      <c r="W132" s="68"/>
      <c r="X132" s="68"/>
      <c r="Y132" s="68"/>
      <c r="Z132" s="68"/>
      <c r="AA132" s="31"/>
      <c r="AC132" s="32"/>
    </row>
    <row r="133" spans="1:44">
      <c r="C133" s="67" t="s">
        <v>305</v>
      </c>
      <c r="D133" s="67" t="s">
        <v>305</v>
      </c>
      <c r="E133" s="67"/>
      <c r="G133" s="67"/>
      <c r="H133" s="67"/>
      <c r="I133" s="67"/>
      <c r="J133" s="67"/>
      <c r="K133" s="67"/>
      <c r="L133" s="67"/>
      <c r="M133" s="67"/>
      <c r="N133" s="67"/>
      <c r="O133" s="312">
        <f>+O$131/0.085*0.02</f>
        <v>358831.82588235289</v>
      </c>
      <c r="P133" s="312">
        <f>+P$131/0.085*0.02</f>
        <v>323617.34352941177</v>
      </c>
      <c r="Q133" s="312">
        <f>+Q$131/0.085*0.02</f>
        <v>352428.67999999988</v>
      </c>
      <c r="R133" s="312">
        <f>+R$131/0.085*0.02</f>
        <v>427611.45176470588</v>
      </c>
      <c r="S133" s="312"/>
      <c r="T133" s="312"/>
      <c r="U133" s="312"/>
      <c r="V133" s="68"/>
      <c r="W133" s="68"/>
      <c r="X133" s="68"/>
      <c r="Y133" s="68"/>
      <c r="Z133" s="68"/>
      <c r="AA133" s="31"/>
      <c r="AC133" s="32"/>
    </row>
    <row r="134" spans="1:44">
      <c r="C134" s="1" t="s">
        <v>302</v>
      </c>
      <c r="D134" s="1" t="s">
        <v>302</v>
      </c>
      <c r="O134" s="312">
        <f>+O$132/0.085*0.0005</f>
        <v>4221.5508927335632</v>
      </c>
      <c r="P134" s="312">
        <f>+P$132/0.085*0.0005</f>
        <v>3807.2628650519027</v>
      </c>
      <c r="Q134" s="312">
        <f>+Q$132/0.085*0.0005</f>
        <v>4146.2197647058811</v>
      </c>
      <c r="R134" s="312">
        <f>+R$132/0.085*0.0005</f>
        <v>5030.7229619377167</v>
      </c>
      <c r="S134" s="68"/>
      <c r="T134" s="68"/>
      <c r="U134" s="68"/>
      <c r="V134" s="68"/>
      <c r="W134" s="68"/>
      <c r="X134" s="68"/>
      <c r="Y134" s="68"/>
      <c r="Z134" s="68"/>
      <c r="AA134" s="31"/>
      <c r="AC134" s="32"/>
    </row>
    <row r="135" spans="1:44">
      <c r="C135" s="1" t="s">
        <v>702</v>
      </c>
      <c r="D135" s="1" t="s">
        <v>702</v>
      </c>
      <c r="O135" s="312">
        <f>+O$131/0.085*0.02</f>
        <v>358831.82588235289</v>
      </c>
      <c r="P135" s="312">
        <f>+P$131/0.085*0.02</f>
        <v>323617.34352941177</v>
      </c>
      <c r="Q135" s="312">
        <f>+Q$131/0.085*0.02</f>
        <v>352428.67999999988</v>
      </c>
      <c r="R135" s="312">
        <f>+R$131/0.085*0.02</f>
        <v>427611.45176470588</v>
      </c>
      <c r="S135" s="68"/>
      <c r="T135" s="68"/>
      <c r="U135" s="68"/>
      <c r="V135" s="68"/>
      <c r="W135" s="68"/>
      <c r="X135" s="68"/>
      <c r="Y135" s="68"/>
      <c r="Z135" s="68"/>
      <c r="AA135" s="31"/>
      <c r="AC135" s="32"/>
    </row>
    <row r="136" spans="1:44">
      <c r="C136" s="1" t="s">
        <v>703</v>
      </c>
      <c r="D136" s="1" t="s">
        <v>703</v>
      </c>
      <c r="O136" s="312">
        <f>+O$131/0.085*0.005</f>
        <v>89707.956470588222</v>
      </c>
      <c r="P136" s="312">
        <f>+P$131/0.085*0.005</f>
        <v>80904.335882352942</v>
      </c>
      <c r="Q136" s="312">
        <f>+Q$131/0.085*0.005</f>
        <v>88107.169999999969</v>
      </c>
      <c r="R136" s="312">
        <f>+R$131/0.085*0.005</f>
        <v>106902.86294117647</v>
      </c>
      <c r="S136" s="312"/>
      <c r="T136" s="312"/>
      <c r="U136" s="70"/>
      <c r="V136" s="70"/>
      <c r="W136" s="70"/>
      <c r="X136" s="70"/>
      <c r="Y136" s="70"/>
      <c r="Z136" s="70"/>
      <c r="AA136" s="32"/>
      <c r="AC136" s="32"/>
    </row>
    <row r="137" spans="1:44">
      <c r="C137" s="1" t="s">
        <v>303</v>
      </c>
      <c r="D137" s="1" t="s">
        <v>303</v>
      </c>
      <c r="O137" s="70">
        <f>+O132-O134</f>
        <v>713442.10087197216</v>
      </c>
      <c r="P137" s="70">
        <f>+P132-P134</f>
        <v>643427.42419377167</v>
      </c>
      <c r="Q137" s="70">
        <f>+Q132-Q134</f>
        <v>700711.14023529389</v>
      </c>
      <c r="R137" s="70">
        <f>+R132-R134</f>
        <v>850192.1805674741</v>
      </c>
      <c r="S137" s="70"/>
      <c r="T137" s="70"/>
      <c r="U137" s="70"/>
      <c r="W137" s="70"/>
      <c r="X137" s="312"/>
      <c r="AA137" s="32"/>
    </row>
    <row r="138" spans="1:44">
      <c r="O138" s="10"/>
      <c r="P138" s="70"/>
      <c r="Q138" s="70"/>
      <c r="R138" s="70"/>
      <c r="S138" s="70"/>
      <c r="T138" s="68"/>
      <c r="U138" s="70"/>
      <c r="V138" s="70"/>
      <c r="W138" s="70"/>
      <c r="X138" s="70"/>
      <c r="Y138" s="70"/>
      <c r="Z138" s="8"/>
      <c r="AA138" s="70"/>
    </row>
    <row r="139" spans="1:44">
      <c r="D139" s="1" t="s">
        <v>637</v>
      </c>
      <c r="O139" s="70">
        <v>714075.33</v>
      </c>
      <c r="P139" s="70">
        <v>643998.51</v>
      </c>
      <c r="Q139" s="70">
        <v>701333.07</v>
      </c>
      <c r="R139" s="70">
        <v>863488.79</v>
      </c>
      <c r="S139" s="70"/>
      <c r="T139" s="70"/>
      <c r="U139" s="70"/>
      <c r="V139" s="70"/>
      <c r="W139" s="70"/>
      <c r="X139" s="70"/>
      <c r="Y139" s="70"/>
      <c r="Z139" s="70"/>
      <c r="AA139" s="70"/>
    </row>
    <row r="140" spans="1:44">
      <c r="D140" s="1" t="s">
        <v>648</v>
      </c>
      <c r="O140" s="70">
        <f>+O137-O139</f>
        <v>-633.22912802780047</v>
      </c>
      <c r="P140" s="70">
        <f>+P137-P139</f>
        <v>-571.08580622833688</v>
      </c>
      <c r="Q140" s="70">
        <f>+Q137-Q139</f>
        <v>-621.92976470605936</v>
      </c>
      <c r="R140" s="70">
        <f>+R137-R139</f>
        <v>-13296.609432525933</v>
      </c>
      <c r="S140" s="70"/>
      <c r="T140" s="70"/>
      <c r="V140" s="70"/>
      <c r="W140" s="70"/>
      <c r="X140" s="70"/>
    </row>
    <row r="141" spans="1:44" s="137" customFormat="1">
      <c r="A141" s="1"/>
      <c r="B141" s="1"/>
      <c r="C141" s="70"/>
      <c r="D141" s="70"/>
      <c r="E141" s="70"/>
      <c r="F141" s="7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8"/>
      <c r="S141" s="70"/>
      <c r="T141" s="1"/>
      <c r="Y141" s="68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s="158" customFormat="1">
      <c r="A142" s="137"/>
      <c r="B142" s="137" t="s">
        <v>390</v>
      </c>
      <c r="C142" s="137"/>
      <c r="D142" s="137"/>
      <c r="E142" s="137"/>
      <c r="F142" s="342"/>
      <c r="G142" s="137"/>
      <c r="H142" s="137"/>
      <c r="I142" s="137"/>
      <c r="J142" s="137"/>
      <c r="K142" s="137"/>
      <c r="L142" s="137"/>
      <c r="M142" s="137"/>
      <c r="N142" s="137"/>
      <c r="O142" s="137">
        <v>18201650</v>
      </c>
      <c r="P142" s="137">
        <v>16280989</v>
      </c>
      <c r="Q142" s="137">
        <v>17737838</v>
      </c>
      <c r="R142" s="137">
        <v>22240256</v>
      </c>
      <c r="S142" s="137">
        <v>14490157</v>
      </c>
      <c r="T142" s="137">
        <v>9569105</v>
      </c>
      <c r="V142" s="158">
        <f>+V141*0.06</f>
        <v>0</v>
      </c>
      <c r="W142" s="158">
        <f>+W141*0.06</f>
        <v>0</v>
      </c>
      <c r="X142" s="158">
        <f>+X141*0.06</f>
        <v>0</v>
      </c>
      <c r="Y142" s="158">
        <f>+Y141*0.06</f>
        <v>0</v>
      </c>
      <c r="Z142" s="158">
        <f>+Z141*0.06</f>
        <v>0</v>
      </c>
      <c r="AA142" s="376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s="158" customFormat="1">
      <c r="B143" s="158" t="s">
        <v>895</v>
      </c>
      <c r="F143" s="343"/>
      <c r="O143" s="158">
        <f t="shared" ref="O143:T143" si="19">+O142*0.085</f>
        <v>1547140.25</v>
      </c>
      <c r="P143" s="158">
        <f t="shared" si="19"/>
        <v>1383884.0650000002</v>
      </c>
      <c r="Q143" s="158">
        <f t="shared" si="19"/>
        <v>1507716.2300000002</v>
      </c>
      <c r="R143" s="158">
        <f t="shared" si="19"/>
        <v>1890421.7600000002</v>
      </c>
      <c r="S143" s="158">
        <f t="shared" si="19"/>
        <v>1231663.3450000002</v>
      </c>
      <c r="T143" s="158">
        <f t="shared" si="19"/>
        <v>813373.92500000005</v>
      </c>
      <c r="U143" s="70">
        <f t="shared" ref="O143:W144" si="20">+U130-U142</f>
        <v>0</v>
      </c>
      <c r="V143" s="70">
        <f t="shared" si="20"/>
        <v>0</v>
      </c>
      <c r="W143" s="70">
        <f t="shared" si="20"/>
        <v>0</v>
      </c>
      <c r="AA143" s="376"/>
      <c r="AE143" s="137"/>
      <c r="AF143" s="137"/>
      <c r="AG143" s="137"/>
      <c r="AH143" s="137"/>
      <c r="AI143" s="137"/>
      <c r="AJ143" s="137"/>
      <c r="AK143" s="137"/>
      <c r="AL143" s="137"/>
      <c r="AM143" s="137"/>
      <c r="AN143" s="137"/>
      <c r="AO143" s="137"/>
      <c r="AP143" s="137"/>
      <c r="AQ143" s="137"/>
      <c r="AR143" s="137"/>
    </row>
    <row r="144" spans="1:44" s="78" customFormat="1">
      <c r="A144" s="158"/>
      <c r="B144" s="159" t="s">
        <v>391</v>
      </c>
      <c r="C144" s="159"/>
      <c r="D144" s="159"/>
      <c r="E144" s="159"/>
      <c r="F144" s="344"/>
      <c r="G144" s="159"/>
      <c r="H144" s="159"/>
      <c r="I144" s="159"/>
      <c r="J144" s="159"/>
      <c r="K144" s="159"/>
      <c r="L144" s="159"/>
      <c r="M144" s="159"/>
      <c r="N144" s="159"/>
      <c r="O144" s="219">
        <f t="shared" si="20"/>
        <v>-22104.989999999991</v>
      </c>
      <c r="P144" s="219">
        <f t="shared" si="20"/>
        <v>-8510.3550000002142</v>
      </c>
      <c r="Q144" s="219">
        <f t="shared" si="20"/>
        <v>-9894.3400000007823</v>
      </c>
      <c r="R144" s="219">
        <f t="shared" si="20"/>
        <v>-73073.090000000084</v>
      </c>
      <c r="S144" s="219">
        <f t="shared" si="20"/>
        <v>-1231663.3450000002</v>
      </c>
      <c r="T144" s="219">
        <f t="shared" si="20"/>
        <v>-813373.92500000005</v>
      </c>
      <c r="U144" s="377" t="str">
        <f t="shared" ref="O144:Z145" si="21">+IF(U141=0," ",U143/U142)</f>
        <v xml:space="preserve"> </v>
      </c>
      <c r="V144" s="377" t="str">
        <f t="shared" si="21"/>
        <v xml:space="preserve"> </v>
      </c>
      <c r="W144" s="377" t="str">
        <f t="shared" si="21"/>
        <v xml:space="preserve"> </v>
      </c>
      <c r="X144" s="377" t="str">
        <f t="shared" si="21"/>
        <v xml:space="preserve"> </v>
      </c>
      <c r="Y144" s="377" t="str">
        <f t="shared" si="21"/>
        <v xml:space="preserve"> </v>
      </c>
      <c r="Z144" s="377" t="str">
        <f t="shared" si="21"/>
        <v xml:space="preserve"> </v>
      </c>
      <c r="AA144" s="378"/>
      <c r="AB144" s="377"/>
      <c r="AC144" s="377"/>
      <c r="AE144" s="158"/>
      <c r="AF144" s="158"/>
      <c r="AG144" s="158"/>
      <c r="AH144" s="158"/>
      <c r="AI144" s="158"/>
      <c r="AJ144" s="158"/>
      <c r="AK144" s="158"/>
      <c r="AL144" s="158"/>
      <c r="AM144" s="158"/>
      <c r="AN144" s="158"/>
      <c r="AO144" s="158"/>
      <c r="AP144" s="158"/>
      <c r="AQ144" s="158"/>
      <c r="AR144" s="158"/>
    </row>
    <row r="145" spans="1:44">
      <c r="A145" s="78"/>
      <c r="B145" s="78" t="s">
        <v>392</v>
      </c>
      <c r="C145" s="78"/>
      <c r="D145" s="78"/>
      <c r="E145" s="78"/>
      <c r="F145" s="345"/>
      <c r="G145" s="78"/>
      <c r="H145" s="78"/>
      <c r="I145" s="78"/>
      <c r="J145" s="78"/>
      <c r="K145" s="78"/>
      <c r="L145" s="78"/>
      <c r="M145" s="78"/>
      <c r="N145" s="78"/>
      <c r="O145" s="78">
        <f t="shared" si="21"/>
        <v>-1.4287644575208997E-2</v>
      </c>
      <c r="P145" s="78">
        <f t="shared" si="21"/>
        <v>-6.1496155749146608E-3</v>
      </c>
      <c r="Q145" s="78">
        <f t="shared" si="21"/>
        <v>-6.5624683233666461E-3</v>
      </c>
      <c r="R145" s="78">
        <f t="shared" si="21"/>
        <v>-3.8654384723121299E-2</v>
      </c>
      <c r="S145" s="78">
        <f t="shared" si="21"/>
        <v>-1</v>
      </c>
      <c r="T145" s="78">
        <f t="shared" si="21"/>
        <v>-1</v>
      </c>
      <c r="AE145" s="158"/>
      <c r="AF145" s="158"/>
      <c r="AG145" s="158"/>
      <c r="AH145" s="158"/>
      <c r="AI145" s="158"/>
      <c r="AJ145" s="158"/>
      <c r="AK145" s="158"/>
      <c r="AL145" s="158"/>
      <c r="AM145" s="158"/>
      <c r="AN145" s="158"/>
      <c r="AO145" s="158"/>
      <c r="AP145" s="158"/>
      <c r="AQ145" s="158"/>
      <c r="AR145" s="158"/>
    </row>
    <row r="146" spans="1:44">
      <c r="Q146" s="32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</row>
    <row r="147" spans="1:44">
      <c r="Q147" s="328"/>
    </row>
    <row r="148" spans="1:44">
      <c r="Q148" s="328"/>
    </row>
  </sheetData>
  <sortState xmlns:xlrd2="http://schemas.microsoft.com/office/spreadsheetml/2017/richdata2" ref="A3:Z126">
    <sortCondition ref="D3:D126"/>
  </sortState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I144"/>
  <sheetViews>
    <sheetView topLeftCell="P1" zoomScale="130" zoomScaleNormal="130" workbookViewId="0">
      <pane ySplit="2" topLeftCell="A99" activePane="bottomLeft" state="frozen"/>
      <selection pane="bottomLeft" activeCell="A30" sqref="A30:XFD30"/>
    </sheetView>
  </sheetViews>
  <sheetFormatPr defaultColWidth="9.08984375" defaultRowHeight="10"/>
  <cols>
    <col min="1" max="1" width="11.90625" style="1" bestFit="1" customWidth="1"/>
    <col min="2" max="2" width="9.54296875" style="1" customWidth="1"/>
    <col min="3" max="3" width="43" style="1" customWidth="1"/>
    <col min="4" max="4" width="31.453125" style="1" bestFit="1" customWidth="1"/>
    <col min="5" max="5" width="8.453125" style="1" customWidth="1"/>
    <col min="6" max="6" width="6.453125" style="7" customWidth="1"/>
    <col min="7" max="7" width="20.54296875" style="1" customWidth="1"/>
    <col min="8" max="8" width="5.6328125" style="1" customWidth="1"/>
    <col min="9" max="9" width="6.36328125" style="1" customWidth="1"/>
    <col min="10" max="10" width="10.6328125" style="1" customWidth="1"/>
    <col min="11" max="11" width="21.08984375" style="1" customWidth="1"/>
    <col min="12" max="12" width="7.6328125" style="1" customWidth="1"/>
    <col min="13" max="13" width="6.453125" style="1" customWidth="1"/>
    <col min="14" max="14" width="7.36328125" style="1" customWidth="1"/>
    <col min="15" max="19" width="12" style="1" customWidth="1"/>
    <col min="20" max="21" width="10.6328125" style="1" customWidth="1"/>
    <col min="22" max="22" width="12" style="1" customWidth="1"/>
    <col min="23" max="25" width="10.6328125" style="1" customWidth="1"/>
    <col min="26" max="26" width="10.453125" style="1" customWidth="1"/>
    <col min="27" max="27" width="11.08984375" style="1" bestFit="1" customWidth="1"/>
    <col min="28" max="28" width="13.6328125" style="387" customWidth="1"/>
    <col min="29" max="29" width="10.81640625" style="1" bestFit="1" customWidth="1"/>
    <col min="30" max="30" width="10.6328125" style="1" customWidth="1"/>
    <col min="31" max="32" width="10.90625" style="1" customWidth="1"/>
    <col min="33" max="38" width="11.90625" style="1" customWidth="1"/>
    <col min="39" max="39" width="10.90625" style="1" customWidth="1"/>
    <col min="40" max="40" width="9.54296875" style="1" customWidth="1"/>
    <col min="41" max="42" width="10.90625" style="1" customWidth="1"/>
    <col min="43" max="45" width="11.90625" style="1" customWidth="1"/>
    <col min="46" max="46" width="12.6328125" style="1" customWidth="1"/>
    <col min="47" max="47" width="9.08984375" style="1" customWidth="1"/>
    <col min="48" max="48" width="10.6328125" style="1" customWidth="1"/>
    <col min="49" max="50" width="10.90625" style="1" customWidth="1"/>
    <col min="51" max="55" width="11.90625" style="1" customWidth="1"/>
    <col min="56" max="56" width="10.90625" style="1" customWidth="1"/>
    <col min="57" max="57" width="9.54296875" style="1" customWidth="1"/>
    <col min="58" max="59" width="10.90625" style="1" customWidth="1"/>
    <col min="60" max="60" width="11.90625" style="1" customWidth="1"/>
    <col min="61" max="61" width="12.6328125" style="1" customWidth="1"/>
    <col min="62" max="16384" width="9.08984375" style="1"/>
  </cols>
  <sheetData>
    <row r="1" spans="1:61">
      <c r="O1" s="10">
        <f t="shared" ref="O1:Z1" si="0">+SUM(O3:O116)</f>
        <v>1476813.8499999999</v>
      </c>
      <c r="P1" s="10">
        <f t="shared" si="0"/>
        <v>1504740.4900000002</v>
      </c>
      <c r="Q1" s="10">
        <f t="shared" si="0"/>
        <v>1521626.1700000002</v>
      </c>
      <c r="R1" s="10">
        <f t="shared" si="0"/>
        <v>1961974.6240000003</v>
      </c>
      <c r="S1" s="10">
        <f t="shared" si="0"/>
        <v>1235911.1900000002</v>
      </c>
      <c r="T1" s="10">
        <f t="shared" si="0"/>
        <v>863540.47000000009</v>
      </c>
      <c r="U1" s="10">
        <f t="shared" si="0"/>
        <v>907935.99999999988</v>
      </c>
      <c r="V1" s="10">
        <f t="shared" si="0"/>
        <v>1115025.0199999998</v>
      </c>
      <c r="W1" s="10">
        <f t="shared" si="0"/>
        <v>617123.34000000008</v>
      </c>
      <c r="X1" s="10">
        <f t="shared" si="0"/>
        <v>201243.00999999995</v>
      </c>
      <c r="Y1" s="10">
        <f t="shared" si="0"/>
        <v>312790.78000000003</v>
      </c>
      <c r="Z1" s="10">
        <f t="shared" si="0"/>
        <v>512098.0400000001</v>
      </c>
      <c r="AA1" s="10">
        <f>+SUM(AA3:AA116)</f>
        <v>3666216.1900000004</v>
      </c>
      <c r="AB1" s="10"/>
      <c r="AC1" s="10"/>
      <c r="AD1" s="10">
        <f>+SUM(AD3:AD116)</f>
        <v>0</v>
      </c>
      <c r="AE1" s="10">
        <f t="shared" ref="AE1:AT1" si="1">+SUM(AE3:AE116)</f>
        <v>274233.39</v>
      </c>
      <c r="AF1" s="10">
        <f t="shared" si="1"/>
        <v>92074.87000000001</v>
      </c>
      <c r="AG1" s="10">
        <f t="shared" si="1"/>
        <v>609502.32999999984</v>
      </c>
      <c r="AH1" s="10">
        <f t="shared" si="1"/>
        <v>0</v>
      </c>
      <c r="AI1" s="10">
        <f t="shared" si="1"/>
        <v>408788.39</v>
      </c>
      <c r="AJ1" s="10">
        <f t="shared" si="1"/>
        <v>0</v>
      </c>
      <c r="AK1" s="10">
        <f t="shared" si="1"/>
        <v>665033.63000000012</v>
      </c>
      <c r="AL1" s="10">
        <f t="shared" si="1"/>
        <v>370955.83</v>
      </c>
      <c r="AM1" s="10">
        <f t="shared" si="1"/>
        <v>191224.18</v>
      </c>
      <c r="AN1" s="10">
        <f t="shared" si="1"/>
        <v>0</v>
      </c>
      <c r="AO1" s="10">
        <f t="shared" si="1"/>
        <v>363793.70999999996</v>
      </c>
      <c r="AP1" s="10">
        <f t="shared" si="1"/>
        <v>229546.37</v>
      </c>
      <c r="AQ1" s="10">
        <f>+SUM(AQ3:AQ116)</f>
        <v>167655.29</v>
      </c>
      <c r="AR1" s="10">
        <f>+SUM(AR3:AR116)</f>
        <v>8057.21</v>
      </c>
      <c r="AS1" s="10">
        <f t="shared" si="1"/>
        <v>285350.99</v>
      </c>
      <c r="AT1" s="10">
        <f t="shared" si="1"/>
        <v>3666216.1900000004</v>
      </c>
    </row>
    <row r="2" spans="1:61" s="17" customFormat="1" ht="21">
      <c r="A2" s="17" t="s">
        <v>523</v>
      </c>
      <c r="B2" s="14" t="s">
        <v>82</v>
      </c>
      <c r="C2" s="15" t="s">
        <v>524</v>
      </c>
      <c r="D2" s="15" t="s">
        <v>0</v>
      </c>
      <c r="E2" s="334" t="s">
        <v>736</v>
      </c>
      <c r="F2" s="339" t="s">
        <v>370</v>
      </c>
      <c r="G2" s="22" t="s">
        <v>829</v>
      </c>
      <c r="H2" s="334" t="s">
        <v>737</v>
      </c>
      <c r="I2" s="334" t="s">
        <v>738</v>
      </c>
      <c r="J2" s="22" t="s">
        <v>739</v>
      </c>
      <c r="K2" s="22" t="s">
        <v>740</v>
      </c>
      <c r="L2" s="335" t="s">
        <v>741</v>
      </c>
      <c r="M2" s="335" t="s">
        <v>742</v>
      </c>
      <c r="N2" s="334" t="s">
        <v>743</v>
      </c>
      <c r="O2" s="89" t="s">
        <v>896</v>
      </c>
      <c r="P2" s="381" t="s">
        <v>897</v>
      </c>
      <c r="Q2" s="231" t="s">
        <v>898</v>
      </c>
      <c r="R2" s="98" t="s">
        <v>899</v>
      </c>
      <c r="S2" s="95" t="s">
        <v>900</v>
      </c>
      <c r="T2" s="102" t="s">
        <v>901</v>
      </c>
      <c r="U2" s="208" t="s">
        <v>902</v>
      </c>
      <c r="V2" s="109" t="s">
        <v>903</v>
      </c>
      <c r="W2" s="215" t="s">
        <v>904</v>
      </c>
      <c r="X2" s="131" t="s">
        <v>905</v>
      </c>
      <c r="Y2" s="257" t="s">
        <v>906</v>
      </c>
      <c r="Z2" s="382" t="s">
        <v>907</v>
      </c>
      <c r="AA2" s="62" t="s">
        <v>926</v>
      </c>
      <c r="AB2" s="383" t="s">
        <v>143</v>
      </c>
      <c r="AC2" s="1"/>
      <c r="AD2" s="17" t="s">
        <v>539</v>
      </c>
      <c r="AE2" s="17" t="s">
        <v>537</v>
      </c>
      <c r="AF2" s="17" t="s">
        <v>662</v>
      </c>
      <c r="AG2" s="17" t="s">
        <v>531</v>
      </c>
      <c r="AH2" s="17" t="s">
        <v>950</v>
      </c>
      <c r="AI2" s="17" t="s">
        <v>530</v>
      </c>
      <c r="AJ2" s="17" t="s">
        <v>948</v>
      </c>
      <c r="AK2" s="17" t="s">
        <v>535</v>
      </c>
      <c r="AL2" s="17" t="s">
        <v>658</v>
      </c>
      <c r="AM2" s="289" t="s">
        <v>533</v>
      </c>
      <c r="AN2" s="289" t="s">
        <v>891</v>
      </c>
      <c r="AO2" s="17" t="s">
        <v>659</v>
      </c>
      <c r="AP2" s="17" t="s">
        <v>660</v>
      </c>
      <c r="AQ2" s="17" t="s">
        <v>951</v>
      </c>
      <c r="AR2" s="17" t="s">
        <v>970</v>
      </c>
      <c r="AS2" s="17" t="s">
        <v>704</v>
      </c>
      <c r="AT2" s="17" t="s">
        <v>141</v>
      </c>
      <c r="AV2" s="418" t="s">
        <v>539</v>
      </c>
      <c r="AW2" s="418" t="s">
        <v>537</v>
      </c>
      <c r="AX2" s="418" t="s">
        <v>662</v>
      </c>
      <c r="AY2" s="418" t="s">
        <v>531</v>
      </c>
      <c r="AZ2" s="418" t="s">
        <v>530</v>
      </c>
      <c r="BA2" s="418" t="s">
        <v>948</v>
      </c>
      <c r="BB2" s="418" t="s">
        <v>535</v>
      </c>
      <c r="BC2" s="418" t="s">
        <v>658</v>
      </c>
      <c r="BD2" s="419" t="s">
        <v>533</v>
      </c>
      <c r="BE2" s="419" t="s">
        <v>891</v>
      </c>
      <c r="BF2" s="418" t="s">
        <v>659</v>
      </c>
      <c r="BG2" s="418" t="s">
        <v>660</v>
      </c>
      <c r="BH2" s="418" t="s">
        <v>704</v>
      </c>
      <c r="BI2" s="418" t="s">
        <v>141</v>
      </c>
    </row>
    <row r="3" spans="1:61" s="17" customFormat="1" ht="10.5">
      <c r="A3" s="1" t="s">
        <v>531</v>
      </c>
      <c r="B3" s="4">
        <v>15037984</v>
      </c>
      <c r="C3" s="1" t="s">
        <v>652</v>
      </c>
      <c r="D3" s="1" t="s">
        <v>653</v>
      </c>
      <c r="E3" s="336">
        <v>42429</v>
      </c>
      <c r="F3" s="7">
        <v>4549</v>
      </c>
      <c r="G3" s="1" t="s">
        <v>747</v>
      </c>
      <c r="H3" s="7">
        <v>88</v>
      </c>
      <c r="I3" s="7">
        <v>6</v>
      </c>
      <c r="J3" s="1"/>
      <c r="K3" s="1" t="s">
        <v>746</v>
      </c>
      <c r="L3" s="1" t="s">
        <v>745</v>
      </c>
      <c r="M3" s="333" t="s">
        <v>744</v>
      </c>
      <c r="N3" s="332">
        <v>40507</v>
      </c>
      <c r="O3" s="181">
        <v>32936.06</v>
      </c>
      <c r="P3" s="184">
        <v>34600.1</v>
      </c>
      <c r="Q3" s="229">
        <v>38676.28</v>
      </c>
      <c r="R3" s="192">
        <v>54939.24</v>
      </c>
      <c r="S3" s="195">
        <v>31914.61</v>
      </c>
      <c r="T3" s="238">
        <v>21444.400000000001</v>
      </c>
      <c r="U3" s="347">
        <v>15153.46</v>
      </c>
      <c r="V3" s="212">
        <v>25014.57</v>
      </c>
      <c r="W3" s="217">
        <v>12765.81</v>
      </c>
      <c r="X3" s="465"/>
      <c r="Y3" s="465"/>
      <c r="Z3" s="465"/>
      <c r="AA3" s="312">
        <f>SUM(U3:Z3)</f>
        <v>52933.84</v>
      </c>
      <c r="AB3" s="390">
        <f>SUM(O3:Z3)</f>
        <v>267444.52999999997</v>
      </c>
      <c r="AC3" s="1"/>
      <c r="AD3" s="9">
        <f>+IF($A3=AD$2,SUM($U3:$Z3),0)</f>
        <v>0</v>
      </c>
      <c r="AE3" s="9">
        <f t="shared" ref="AE3:AS18" si="2">+IF($A3=AE$2,SUM($U3:$Z3),0)</f>
        <v>0</v>
      </c>
      <c r="AF3" s="9">
        <f t="shared" si="2"/>
        <v>0</v>
      </c>
      <c r="AG3" s="9">
        <f t="shared" si="2"/>
        <v>52933.84</v>
      </c>
      <c r="AH3" s="9">
        <f t="shared" si="2"/>
        <v>0</v>
      </c>
      <c r="AI3" s="9">
        <f t="shared" si="2"/>
        <v>0</v>
      </c>
      <c r="AJ3" s="9">
        <f t="shared" si="2"/>
        <v>0</v>
      </c>
      <c r="AK3" s="9">
        <f t="shared" si="2"/>
        <v>0</v>
      </c>
      <c r="AL3" s="9">
        <f t="shared" si="2"/>
        <v>0</v>
      </c>
      <c r="AM3" s="9">
        <f t="shared" si="2"/>
        <v>0</v>
      </c>
      <c r="AN3" s="9">
        <f t="shared" si="2"/>
        <v>0</v>
      </c>
      <c r="AO3" s="9">
        <f t="shared" si="2"/>
        <v>0</v>
      </c>
      <c r="AP3" s="9">
        <f t="shared" si="2"/>
        <v>0</v>
      </c>
      <c r="AQ3" s="9">
        <f t="shared" si="2"/>
        <v>0</v>
      </c>
      <c r="AR3" s="9">
        <f t="shared" si="2"/>
        <v>0</v>
      </c>
      <c r="AS3" s="9">
        <f t="shared" si="2"/>
        <v>0</v>
      </c>
      <c r="AT3" s="365">
        <f t="shared" ref="AT3:AT34" si="3">+SUM(AD3:AS3)</f>
        <v>52933.84</v>
      </c>
      <c r="AU3" s="416"/>
      <c r="AV3" s="7">
        <f>+IF($A3=AV$2,$H3,0)</f>
        <v>0</v>
      </c>
      <c r="AW3" s="7">
        <f t="shared" ref="AW3:BH16" si="4">+IF($A3=AW$2,$H3,0)</f>
        <v>0</v>
      </c>
      <c r="AX3" s="7">
        <f t="shared" si="4"/>
        <v>0</v>
      </c>
      <c r="AY3" s="7">
        <f t="shared" si="4"/>
        <v>88</v>
      </c>
      <c r="AZ3" s="7">
        <f t="shared" si="4"/>
        <v>0</v>
      </c>
      <c r="BA3" s="7">
        <f t="shared" si="4"/>
        <v>0</v>
      </c>
      <c r="BB3" s="7">
        <f t="shared" si="4"/>
        <v>0</v>
      </c>
      <c r="BC3" s="7">
        <f t="shared" si="4"/>
        <v>0</v>
      </c>
      <c r="BD3" s="7">
        <f t="shared" si="4"/>
        <v>0</v>
      </c>
      <c r="BE3" s="7">
        <f t="shared" si="4"/>
        <v>0</v>
      </c>
      <c r="BF3" s="7">
        <f t="shared" si="4"/>
        <v>0</v>
      </c>
      <c r="BG3" s="7">
        <f t="shared" si="4"/>
        <v>0</v>
      </c>
      <c r="BH3" s="7">
        <f t="shared" si="4"/>
        <v>0</v>
      </c>
      <c r="BI3" s="420">
        <f t="shared" ref="BI3:BI31" si="5">+SUM(AV3:BH3)</f>
        <v>88</v>
      </c>
    </row>
    <row r="4" spans="1:61" s="17" customFormat="1" ht="10.5">
      <c r="A4" s="1" t="s">
        <v>970</v>
      </c>
      <c r="B4" s="4">
        <v>15063097</v>
      </c>
      <c r="C4" s="1"/>
      <c r="D4" s="1" t="s">
        <v>883</v>
      </c>
      <c r="E4" s="1"/>
      <c r="F4" s="7"/>
      <c r="G4" s="1"/>
      <c r="H4" s="1"/>
      <c r="I4" s="1"/>
      <c r="J4" s="1"/>
      <c r="K4" s="1"/>
      <c r="L4" s="1"/>
      <c r="M4" s="1"/>
      <c r="N4" s="1"/>
      <c r="O4" s="181">
        <v>1832.23</v>
      </c>
      <c r="P4" s="192">
        <v>549.1</v>
      </c>
      <c r="Q4" s="192">
        <v>916.44</v>
      </c>
      <c r="R4" s="347">
        <v>1041.1600000000001</v>
      </c>
      <c r="S4" s="347">
        <v>723</v>
      </c>
      <c r="T4" s="347">
        <v>370.6</v>
      </c>
      <c r="U4" s="465"/>
      <c r="V4" s="172">
        <v>477.13</v>
      </c>
      <c r="W4" s="465"/>
      <c r="X4" s="465"/>
      <c r="Y4" s="465"/>
      <c r="Z4" s="172">
        <v>754.8</v>
      </c>
      <c r="AA4" s="312">
        <f t="shared" ref="AA4:AA67" si="6">SUM(U4:Z4)</f>
        <v>1231.9299999999998</v>
      </c>
      <c r="AB4" s="392">
        <f>SUM(O4:Z4)</f>
        <v>6664.4600000000009</v>
      </c>
      <c r="AC4" s="1"/>
      <c r="AD4" s="9">
        <f t="shared" ref="AD4:AS33" si="7">+IF($A4=AD$2,SUM($U4:$Z4),0)</f>
        <v>0</v>
      </c>
      <c r="AE4" s="9">
        <f t="shared" si="2"/>
        <v>0</v>
      </c>
      <c r="AF4" s="9">
        <f t="shared" si="2"/>
        <v>0</v>
      </c>
      <c r="AG4" s="9">
        <f t="shared" si="2"/>
        <v>0</v>
      </c>
      <c r="AH4" s="9">
        <f t="shared" si="2"/>
        <v>0</v>
      </c>
      <c r="AI4" s="9">
        <f t="shared" si="2"/>
        <v>0</v>
      </c>
      <c r="AJ4" s="9">
        <f t="shared" si="2"/>
        <v>0</v>
      </c>
      <c r="AK4" s="9">
        <f t="shared" si="2"/>
        <v>0</v>
      </c>
      <c r="AL4" s="9">
        <f t="shared" si="2"/>
        <v>0</v>
      </c>
      <c r="AM4" s="9">
        <f t="shared" si="2"/>
        <v>0</v>
      </c>
      <c r="AN4" s="9">
        <f t="shared" si="2"/>
        <v>0</v>
      </c>
      <c r="AO4" s="9">
        <f t="shared" si="2"/>
        <v>0</v>
      </c>
      <c r="AP4" s="9">
        <f t="shared" si="2"/>
        <v>0</v>
      </c>
      <c r="AQ4" s="9">
        <f t="shared" si="2"/>
        <v>0</v>
      </c>
      <c r="AR4" s="9">
        <f t="shared" si="2"/>
        <v>1231.9299999999998</v>
      </c>
      <c r="AS4" s="9">
        <f t="shared" si="2"/>
        <v>0</v>
      </c>
      <c r="AT4" s="365">
        <f t="shared" si="3"/>
        <v>1231.9299999999998</v>
      </c>
      <c r="AU4" s="416"/>
      <c r="AV4" s="7">
        <f t="shared" ref="AV4:BH32" si="8">+IF($A4=AV$2,$H4,0)</f>
        <v>0</v>
      </c>
      <c r="AW4" s="7">
        <f t="shared" si="4"/>
        <v>0</v>
      </c>
      <c r="AX4" s="7">
        <f t="shared" si="4"/>
        <v>0</v>
      </c>
      <c r="AY4" s="7">
        <f t="shared" si="4"/>
        <v>0</v>
      </c>
      <c r="AZ4" s="7">
        <f t="shared" si="4"/>
        <v>0</v>
      </c>
      <c r="BA4" s="7">
        <f t="shared" si="4"/>
        <v>0</v>
      </c>
      <c r="BB4" s="7">
        <f t="shared" si="4"/>
        <v>0</v>
      </c>
      <c r="BC4" s="7">
        <f t="shared" si="4"/>
        <v>0</v>
      </c>
      <c r="BD4" s="7">
        <f t="shared" si="4"/>
        <v>0</v>
      </c>
      <c r="BE4" s="7">
        <f t="shared" si="4"/>
        <v>0</v>
      </c>
      <c r="BF4" s="7">
        <f t="shared" si="4"/>
        <v>0</v>
      </c>
      <c r="BG4" s="7">
        <f t="shared" si="4"/>
        <v>0</v>
      </c>
      <c r="BH4" s="7">
        <f t="shared" si="4"/>
        <v>0</v>
      </c>
      <c r="BI4" s="420">
        <f t="shared" si="5"/>
        <v>0</v>
      </c>
    </row>
    <row r="5" spans="1:61" s="17" customFormat="1" ht="10.5">
      <c r="A5" s="1" t="s">
        <v>705</v>
      </c>
      <c r="B5" s="4">
        <v>15002216</v>
      </c>
      <c r="C5" s="1" t="s">
        <v>329</v>
      </c>
      <c r="D5" s="1" t="s">
        <v>838</v>
      </c>
      <c r="E5" s="1"/>
      <c r="F5" s="32"/>
      <c r="G5" s="32"/>
      <c r="H5" s="32"/>
      <c r="I5" s="32"/>
      <c r="J5" s="32"/>
      <c r="K5" s="32" t="s">
        <v>837</v>
      </c>
      <c r="L5" s="1" t="s">
        <v>745</v>
      </c>
      <c r="M5" s="333" t="s">
        <v>744</v>
      </c>
      <c r="N5" s="349">
        <v>40507</v>
      </c>
      <c r="O5" s="465"/>
      <c r="P5" s="465"/>
      <c r="Q5" s="465"/>
      <c r="R5" s="346">
        <v>43.1</v>
      </c>
      <c r="S5" s="465"/>
      <c r="T5" s="465"/>
      <c r="U5" s="465"/>
      <c r="V5" s="465"/>
      <c r="W5" s="465"/>
      <c r="X5" s="465"/>
      <c r="Y5" s="465"/>
      <c r="Z5" s="465"/>
      <c r="AA5" s="312">
        <f t="shared" si="6"/>
        <v>0</v>
      </c>
      <c r="AB5" s="394">
        <f>SUM(O5:Z5)</f>
        <v>43.1</v>
      </c>
      <c r="AC5" s="1"/>
      <c r="AD5" s="9">
        <f t="shared" si="7"/>
        <v>0</v>
      </c>
      <c r="AE5" s="9">
        <f t="shared" si="2"/>
        <v>0</v>
      </c>
      <c r="AF5" s="9">
        <f t="shared" si="2"/>
        <v>0</v>
      </c>
      <c r="AG5" s="9">
        <f t="shared" si="2"/>
        <v>0</v>
      </c>
      <c r="AH5" s="9">
        <f t="shared" si="2"/>
        <v>0</v>
      </c>
      <c r="AI5" s="9">
        <f t="shared" si="2"/>
        <v>0</v>
      </c>
      <c r="AJ5" s="9">
        <f t="shared" si="2"/>
        <v>0</v>
      </c>
      <c r="AK5" s="9">
        <f t="shared" si="2"/>
        <v>0</v>
      </c>
      <c r="AL5" s="9">
        <f t="shared" si="2"/>
        <v>0</v>
      </c>
      <c r="AM5" s="9">
        <f t="shared" si="2"/>
        <v>0</v>
      </c>
      <c r="AN5" s="9">
        <f t="shared" si="2"/>
        <v>0</v>
      </c>
      <c r="AO5" s="9">
        <f t="shared" si="2"/>
        <v>0</v>
      </c>
      <c r="AP5" s="9">
        <f t="shared" si="2"/>
        <v>0</v>
      </c>
      <c r="AQ5" s="9">
        <f t="shared" si="2"/>
        <v>0</v>
      </c>
      <c r="AR5" s="9">
        <f t="shared" si="2"/>
        <v>0</v>
      </c>
      <c r="AS5" s="9">
        <f t="shared" si="2"/>
        <v>0</v>
      </c>
      <c r="AT5" s="365">
        <f t="shared" si="3"/>
        <v>0</v>
      </c>
      <c r="AU5" s="416"/>
      <c r="AV5" s="7">
        <f t="shared" si="8"/>
        <v>0</v>
      </c>
      <c r="AW5" s="7">
        <f t="shared" si="4"/>
        <v>0</v>
      </c>
      <c r="AX5" s="7">
        <f t="shared" si="4"/>
        <v>0</v>
      </c>
      <c r="AY5" s="7">
        <f t="shared" si="4"/>
        <v>0</v>
      </c>
      <c r="AZ5" s="7">
        <f t="shared" si="4"/>
        <v>0</v>
      </c>
      <c r="BA5" s="7">
        <f t="shared" si="4"/>
        <v>0</v>
      </c>
      <c r="BB5" s="7">
        <f t="shared" si="4"/>
        <v>0</v>
      </c>
      <c r="BC5" s="7">
        <f t="shared" si="4"/>
        <v>0</v>
      </c>
      <c r="BD5" s="7">
        <f t="shared" si="4"/>
        <v>0</v>
      </c>
      <c r="BE5" s="7">
        <f t="shared" si="4"/>
        <v>0</v>
      </c>
      <c r="BF5" s="7">
        <f t="shared" si="4"/>
        <v>0</v>
      </c>
      <c r="BG5" s="7">
        <f t="shared" si="4"/>
        <v>0</v>
      </c>
      <c r="BH5" s="7">
        <f t="shared" si="4"/>
        <v>0</v>
      </c>
      <c r="BI5" s="420">
        <f t="shared" si="5"/>
        <v>0</v>
      </c>
    </row>
    <row r="6" spans="1:61">
      <c r="A6" s="1" t="s">
        <v>951</v>
      </c>
      <c r="B6" s="42">
        <v>15036764</v>
      </c>
      <c r="C6" s="11" t="s">
        <v>844</v>
      </c>
      <c r="D6" s="11" t="s">
        <v>844</v>
      </c>
      <c r="E6" s="7"/>
      <c r="F6" s="340"/>
      <c r="H6" s="7"/>
      <c r="I6" s="7"/>
      <c r="M6" s="333"/>
      <c r="N6" s="332"/>
      <c r="O6" s="181">
        <v>55880.55</v>
      </c>
      <c r="P6" s="184">
        <v>55973.17</v>
      </c>
      <c r="Q6" s="229">
        <v>53511</v>
      </c>
      <c r="R6" s="192">
        <v>46822.92</v>
      </c>
      <c r="S6" s="195">
        <v>39413.760000000002</v>
      </c>
      <c r="T6" s="238">
        <v>41437.4</v>
      </c>
      <c r="U6" s="347">
        <v>72754.11</v>
      </c>
      <c r="V6" s="212">
        <v>72642.64</v>
      </c>
      <c r="W6" s="136"/>
      <c r="X6" s="136"/>
      <c r="Y6" s="136"/>
      <c r="Z6" s="172">
        <v>22258.54</v>
      </c>
      <c r="AA6" s="312">
        <f t="shared" si="6"/>
        <v>167655.29</v>
      </c>
      <c r="AB6" s="392">
        <f>SUM(O6:Z6)</f>
        <v>460694.09</v>
      </c>
      <c r="AD6" s="9">
        <f t="shared" si="7"/>
        <v>0</v>
      </c>
      <c r="AE6" s="9">
        <f t="shared" si="2"/>
        <v>0</v>
      </c>
      <c r="AF6" s="9">
        <f t="shared" si="2"/>
        <v>0</v>
      </c>
      <c r="AG6" s="9">
        <f t="shared" si="2"/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9">
        <f t="shared" si="2"/>
        <v>0</v>
      </c>
      <c r="AN6" s="9">
        <f t="shared" si="2"/>
        <v>0</v>
      </c>
      <c r="AO6" s="9">
        <f t="shared" si="2"/>
        <v>0</v>
      </c>
      <c r="AP6" s="9">
        <f t="shared" si="2"/>
        <v>0</v>
      </c>
      <c r="AQ6" s="9">
        <f t="shared" si="2"/>
        <v>167655.29</v>
      </c>
      <c r="AR6" s="9">
        <f t="shared" si="2"/>
        <v>0</v>
      </c>
      <c r="AS6" s="9">
        <f t="shared" si="2"/>
        <v>0</v>
      </c>
      <c r="AT6" s="365">
        <f t="shared" si="3"/>
        <v>167655.29</v>
      </c>
      <c r="AU6" s="416"/>
      <c r="AV6" s="7">
        <f t="shared" si="8"/>
        <v>0</v>
      </c>
      <c r="AW6" s="7">
        <f t="shared" si="4"/>
        <v>0</v>
      </c>
      <c r="AX6" s="7">
        <f t="shared" si="4"/>
        <v>0</v>
      </c>
      <c r="AY6" s="7">
        <f t="shared" si="4"/>
        <v>0</v>
      </c>
      <c r="AZ6" s="7">
        <f t="shared" si="4"/>
        <v>0</v>
      </c>
      <c r="BA6" s="7">
        <f t="shared" si="4"/>
        <v>0</v>
      </c>
      <c r="BB6" s="7">
        <f t="shared" si="4"/>
        <v>0</v>
      </c>
      <c r="BC6" s="7">
        <f t="shared" si="4"/>
        <v>0</v>
      </c>
      <c r="BD6" s="7">
        <f t="shared" si="4"/>
        <v>0</v>
      </c>
      <c r="BE6" s="7">
        <f t="shared" si="4"/>
        <v>0</v>
      </c>
      <c r="BF6" s="7">
        <f t="shared" si="4"/>
        <v>0</v>
      </c>
      <c r="BG6" s="7">
        <f t="shared" si="4"/>
        <v>0</v>
      </c>
      <c r="BH6" s="7">
        <f t="shared" si="4"/>
        <v>0</v>
      </c>
      <c r="BI6" s="420">
        <f t="shared" si="5"/>
        <v>0</v>
      </c>
    </row>
    <row r="7" spans="1:61">
      <c r="A7" s="1" t="s">
        <v>530</v>
      </c>
      <c r="B7" s="4">
        <v>15051600</v>
      </c>
      <c r="D7" s="1" t="s">
        <v>876</v>
      </c>
      <c r="E7" s="336"/>
      <c r="H7" s="7"/>
      <c r="I7" s="7"/>
      <c r="M7" s="333"/>
      <c r="N7" s="332"/>
      <c r="O7" s="184">
        <v>5923.75</v>
      </c>
      <c r="P7" s="184">
        <v>4535.99</v>
      </c>
      <c r="Q7" s="32"/>
      <c r="R7" s="192">
        <v>6104.27</v>
      </c>
      <c r="S7" s="195">
        <v>1190.48</v>
      </c>
      <c r="T7" s="32"/>
      <c r="U7" s="32"/>
      <c r="V7" s="32"/>
      <c r="W7" s="32"/>
      <c r="X7" s="32"/>
      <c r="Y7" s="32"/>
      <c r="Z7" s="32"/>
      <c r="AA7" s="312">
        <f t="shared" si="6"/>
        <v>0</v>
      </c>
      <c r="AB7" s="395">
        <f t="shared" ref="AB7:AB17" si="9">SUM(O7:Z7)</f>
        <v>17754.490000000002</v>
      </c>
      <c r="AD7" s="9">
        <f t="shared" si="7"/>
        <v>0</v>
      </c>
      <c r="AE7" s="9">
        <f t="shared" si="2"/>
        <v>0</v>
      </c>
      <c r="AF7" s="9">
        <f t="shared" si="2"/>
        <v>0</v>
      </c>
      <c r="AG7" s="9">
        <f t="shared" si="2"/>
        <v>0</v>
      </c>
      <c r="AH7" s="9">
        <f t="shared" si="2"/>
        <v>0</v>
      </c>
      <c r="AI7" s="9">
        <f t="shared" si="2"/>
        <v>0</v>
      </c>
      <c r="AJ7" s="9">
        <f t="shared" si="2"/>
        <v>0</v>
      </c>
      <c r="AK7" s="9">
        <f t="shared" si="2"/>
        <v>0</v>
      </c>
      <c r="AL7" s="9">
        <f t="shared" si="2"/>
        <v>0</v>
      </c>
      <c r="AM7" s="9">
        <f t="shared" si="2"/>
        <v>0</v>
      </c>
      <c r="AN7" s="9">
        <f t="shared" si="2"/>
        <v>0</v>
      </c>
      <c r="AO7" s="9">
        <f t="shared" si="2"/>
        <v>0</v>
      </c>
      <c r="AP7" s="9">
        <f t="shared" si="2"/>
        <v>0</v>
      </c>
      <c r="AQ7" s="9">
        <f t="shared" si="2"/>
        <v>0</v>
      </c>
      <c r="AR7" s="9">
        <f t="shared" si="2"/>
        <v>0</v>
      </c>
      <c r="AS7" s="9">
        <f t="shared" si="2"/>
        <v>0</v>
      </c>
      <c r="AT7" s="365">
        <f t="shared" si="3"/>
        <v>0</v>
      </c>
      <c r="AU7" s="416"/>
      <c r="AV7" s="7">
        <f t="shared" si="8"/>
        <v>0</v>
      </c>
      <c r="AW7" s="7">
        <f t="shared" si="4"/>
        <v>0</v>
      </c>
      <c r="AX7" s="7">
        <f t="shared" si="4"/>
        <v>0</v>
      </c>
      <c r="AY7" s="7">
        <f t="shared" si="4"/>
        <v>0</v>
      </c>
      <c r="AZ7" s="7">
        <f t="shared" si="4"/>
        <v>0</v>
      </c>
      <c r="BA7" s="7">
        <f t="shared" si="4"/>
        <v>0</v>
      </c>
      <c r="BB7" s="7">
        <f t="shared" si="4"/>
        <v>0</v>
      </c>
      <c r="BC7" s="7">
        <f t="shared" si="4"/>
        <v>0</v>
      </c>
      <c r="BD7" s="7">
        <f t="shared" si="4"/>
        <v>0</v>
      </c>
      <c r="BE7" s="7">
        <f t="shared" si="4"/>
        <v>0</v>
      </c>
      <c r="BF7" s="7">
        <f t="shared" si="4"/>
        <v>0</v>
      </c>
      <c r="BG7" s="7">
        <f t="shared" si="4"/>
        <v>0</v>
      </c>
      <c r="BH7" s="7">
        <f t="shared" si="4"/>
        <v>0</v>
      </c>
      <c r="BI7" s="420">
        <f t="shared" si="5"/>
        <v>0</v>
      </c>
    </row>
    <row r="8" spans="1:61">
      <c r="A8" s="1" t="s">
        <v>705</v>
      </c>
      <c r="B8" s="4">
        <v>15037169</v>
      </c>
      <c r="C8" s="1" t="s">
        <v>636</v>
      </c>
      <c r="D8" s="1" t="s">
        <v>733</v>
      </c>
      <c r="E8" s="337"/>
      <c r="F8" s="7">
        <v>107</v>
      </c>
      <c r="G8" s="1" t="s">
        <v>749</v>
      </c>
      <c r="H8" s="7">
        <v>37</v>
      </c>
      <c r="I8" s="7">
        <v>0</v>
      </c>
      <c r="J8" s="1" t="s">
        <v>748</v>
      </c>
      <c r="K8" s="1" t="s">
        <v>401</v>
      </c>
      <c r="L8" s="1" t="s">
        <v>745</v>
      </c>
      <c r="M8" s="333" t="s">
        <v>744</v>
      </c>
      <c r="N8" s="332">
        <v>40510</v>
      </c>
      <c r="O8" s="181">
        <v>3585.3</v>
      </c>
      <c r="P8" s="184">
        <v>2441.6</v>
      </c>
      <c r="Q8" s="229">
        <v>2126.39</v>
      </c>
      <c r="R8" s="192">
        <v>3021.39</v>
      </c>
      <c r="S8" s="195">
        <v>1547.83</v>
      </c>
      <c r="T8" s="238">
        <v>938.71</v>
      </c>
      <c r="U8" s="347">
        <v>898.51</v>
      </c>
      <c r="V8" s="212">
        <v>1098.31</v>
      </c>
      <c r="W8" s="217">
        <v>1025.8</v>
      </c>
      <c r="X8" s="220">
        <v>755.94</v>
      </c>
      <c r="Y8" s="304">
        <v>1087.8</v>
      </c>
      <c r="Z8" s="172">
        <v>2542.7399999999998</v>
      </c>
      <c r="AA8" s="312">
        <f t="shared" si="6"/>
        <v>7409.0999999999995</v>
      </c>
      <c r="AB8" s="394">
        <f t="shared" si="9"/>
        <v>21070.319999999992</v>
      </c>
      <c r="AD8" s="9">
        <f t="shared" si="7"/>
        <v>0</v>
      </c>
      <c r="AE8" s="9">
        <f t="shared" si="2"/>
        <v>0</v>
      </c>
      <c r="AF8" s="9">
        <f t="shared" si="2"/>
        <v>0</v>
      </c>
      <c r="AG8" s="9">
        <f t="shared" si="2"/>
        <v>0</v>
      </c>
      <c r="AH8" s="9">
        <f t="shared" si="2"/>
        <v>0</v>
      </c>
      <c r="AI8" s="9">
        <f t="shared" si="2"/>
        <v>0</v>
      </c>
      <c r="AJ8" s="9">
        <f t="shared" si="2"/>
        <v>0</v>
      </c>
      <c r="AK8" s="9">
        <f t="shared" si="2"/>
        <v>0</v>
      </c>
      <c r="AL8" s="9">
        <f t="shared" si="2"/>
        <v>0</v>
      </c>
      <c r="AM8" s="9">
        <f t="shared" si="2"/>
        <v>0</v>
      </c>
      <c r="AN8" s="9">
        <f t="shared" si="2"/>
        <v>0</v>
      </c>
      <c r="AO8" s="9">
        <f t="shared" si="2"/>
        <v>0</v>
      </c>
      <c r="AP8" s="9">
        <f t="shared" si="2"/>
        <v>0</v>
      </c>
      <c r="AQ8" s="9">
        <f t="shared" si="2"/>
        <v>0</v>
      </c>
      <c r="AR8" s="9">
        <f t="shared" si="2"/>
        <v>0</v>
      </c>
      <c r="AS8" s="9">
        <f t="shared" si="2"/>
        <v>7409.0999999999995</v>
      </c>
      <c r="AT8" s="365">
        <f t="shared" si="3"/>
        <v>7409.0999999999995</v>
      </c>
      <c r="AU8" s="416"/>
      <c r="AV8" s="7">
        <f t="shared" si="8"/>
        <v>0</v>
      </c>
      <c r="AW8" s="7">
        <f t="shared" si="4"/>
        <v>0</v>
      </c>
      <c r="AX8" s="7">
        <f t="shared" si="4"/>
        <v>0</v>
      </c>
      <c r="AY8" s="7">
        <f t="shared" si="4"/>
        <v>0</v>
      </c>
      <c r="AZ8" s="7">
        <f t="shared" si="4"/>
        <v>0</v>
      </c>
      <c r="BA8" s="7">
        <f t="shared" si="4"/>
        <v>0</v>
      </c>
      <c r="BB8" s="7">
        <f t="shared" si="4"/>
        <v>0</v>
      </c>
      <c r="BC8" s="7">
        <f t="shared" si="4"/>
        <v>0</v>
      </c>
      <c r="BD8" s="7">
        <f t="shared" si="4"/>
        <v>0</v>
      </c>
      <c r="BE8" s="7">
        <f t="shared" si="4"/>
        <v>0</v>
      </c>
      <c r="BF8" s="7">
        <f t="shared" si="4"/>
        <v>0</v>
      </c>
      <c r="BG8" s="7">
        <f t="shared" si="4"/>
        <v>0</v>
      </c>
      <c r="BH8" s="7">
        <f t="shared" si="4"/>
        <v>37</v>
      </c>
      <c r="BI8" s="420">
        <f t="shared" si="5"/>
        <v>37</v>
      </c>
    </row>
    <row r="9" spans="1:61">
      <c r="A9" s="1" t="s">
        <v>970</v>
      </c>
      <c r="B9" s="4">
        <v>15052386</v>
      </c>
      <c r="D9" s="1" t="s">
        <v>923</v>
      </c>
      <c r="E9" s="337"/>
      <c r="H9" s="7"/>
      <c r="I9" s="7"/>
      <c r="M9" s="333"/>
      <c r="N9" s="332"/>
      <c r="O9" s="172">
        <v>799</v>
      </c>
      <c r="P9" s="172">
        <v>364</v>
      </c>
      <c r="Q9" s="172">
        <v>74</v>
      </c>
      <c r="R9" s="172">
        <v>117</v>
      </c>
      <c r="S9" s="172">
        <v>279</v>
      </c>
      <c r="T9" s="172">
        <v>43</v>
      </c>
      <c r="U9" s="172">
        <v>381</v>
      </c>
      <c r="V9" s="172">
        <v>136</v>
      </c>
      <c r="W9" s="136"/>
      <c r="X9" s="136"/>
      <c r="Y9" s="136"/>
      <c r="Z9" s="172">
        <v>185.18</v>
      </c>
      <c r="AA9" s="312">
        <f t="shared" si="6"/>
        <v>702.18000000000006</v>
      </c>
      <c r="AB9" s="392">
        <f t="shared" si="9"/>
        <v>2378.1799999999998</v>
      </c>
      <c r="AD9" s="9">
        <f t="shared" si="7"/>
        <v>0</v>
      </c>
      <c r="AE9" s="9">
        <f t="shared" si="2"/>
        <v>0</v>
      </c>
      <c r="AF9" s="9">
        <f t="shared" si="2"/>
        <v>0</v>
      </c>
      <c r="AG9" s="9">
        <f t="shared" si="2"/>
        <v>0</v>
      </c>
      <c r="AH9" s="9">
        <f t="shared" si="2"/>
        <v>0</v>
      </c>
      <c r="AI9" s="9">
        <f t="shared" si="2"/>
        <v>0</v>
      </c>
      <c r="AJ9" s="9">
        <f t="shared" si="2"/>
        <v>0</v>
      </c>
      <c r="AK9" s="9">
        <f t="shared" si="2"/>
        <v>0</v>
      </c>
      <c r="AL9" s="9">
        <f t="shared" si="2"/>
        <v>0</v>
      </c>
      <c r="AM9" s="9">
        <f t="shared" si="2"/>
        <v>0</v>
      </c>
      <c r="AN9" s="9">
        <f t="shared" si="2"/>
        <v>0</v>
      </c>
      <c r="AO9" s="9">
        <f t="shared" si="2"/>
        <v>0</v>
      </c>
      <c r="AP9" s="9">
        <f t="shared" si="2"/>
        <v>0</v>
      </c>
      <c r="AQ9" s="9">
        <f t="shared" si="2"/>
        <v>0</v>
      </c>
      <c r="AR9" s="9">
        <f t="shared" si="2"/>
        <v>702.18000000000006</v>
      </c>
      <c r="AS9" s="9">
        <f t="shared" si="2"/>
        <v>0</v>
      </c>
      <c r="AT9" s="365">
        <f t="shared" si="3"/>
        <v>702.18000000000006</v>
      </c>
      <c r="AU9" s="416"/>
      <c r="AV9" s="7">
        <f t="shared" si="8"/>
        <v>0</v>
      </c>
      <c r="AW9" s="7">
        <f t="shared" si="4"/>
        <v>0</v>
      </c>
      <c r="AX9" s="7">
        <f t="shared" si="4"/>
        <v>0</v>
      </c>
      <c r="AY9" s="7">
        <f t="shared" si="4"/>
        <v>0</v>
      </c>
      <c r="AZ9" s="7">
        <f t="shared" si="4"/>
        <v>0</v>
      </c>
      <c r="BA9" s="7">
        <f t="shared" si="4"/>
        <v>0</v>
      </c>
      <c r="BB9" s="7">
        <f t="shared" si="4"/>
        <v>0</v>
      </c>
      <c r="BC9" s="7">
        <f t="shared" si="4"/>
        <v>0</v>
      </c>
      <c r="BD9" s="7">
        <f t="shared" si="4"/>
        <v>0</v>
      </c>
      <c r="BE9" s="7">
        <f t="shared" si="4"/>
        <v>0</v>
      </c>
      <c r="BF9" s="7">
        <f t="shared" si="4"/>
        <v>0</v>
      </c>
      <c r="BG9" s="7">
        <f t="shared" si="4"/>
        <v>0</v>
      </c>
      <c r="BH9" s="7">
        <f t="shared" si="4"/>
        <v>0</v>
      </c>
      <c r="BI9" s="420">
        <f t="shared" si="5"/>
        <v>0</v>
      </c>
    </row>
    <row r="10" spans="1:61">
      <c r="A10" s="1" t="s">
        <v>970</v>
      </c>
      <c r="B10" s="4">
        <v>15059510</v>
      </c>
      <c r="C10" s="1" t="s">
        <v>833</v>
      </c>
      <c r="D10" s="1" t="s">
        <v>833</v>
      </c>
      <c r="F10" s="32"/>
      <c r="G10" s="32"/>
      <c r="H10" s="32"/>
      <c r="I10" s="32"/>
      <c r="J10" s="32"/>
      <c r="K10" s="32"/>
      <c r="L10" s="32"/>
      <c r="M10" s="32"/>
      <c r="N10" s="32"/>
      <c r="O10" s="181">
        <v>487.54</v>
      </c>
      <c r="P10" s="184">
        <v>115.2</v>
      </c>
      <c r="Q10" s="229">
        <v>282.98</v>
      </c>
      <c r="R10" s="192">
        <v>460.89</v>
      </c>
      <c r="S10" s="195">
        <v>274.16000000000003</v>
      </c>
      <c r="T10" s="238">
        <v>300.38</v>
      </c>
      <c r="U10" s="347">
        <v>171.26</v>
      </c>
      <c r="V10" s="304">
        <v>137.38999999999999</v>
      </c>
      <c r="W10" s="136"/>
      <c r="X10" s="136"/>
      <c r="Y10" s="136"/>
      <c r="Z10" s="136"/>
      <c r="AA10" s="312">
        <f t="shared" si="6"/>
        <v>308.64999999999998</v>
      </c>
      <c r="AB10" s="392">
        <f t="shared" si="9"/>
        <v>2229.7999999999997</v>
      </c>
      <c r="AD10" s="9">
        <f t="shared" si="7"/>
        <v>0</v>
      </c>
      <c r="AE10" s="9">
        <f t="shared" si="2"/>
        <v>0</v>
      </c>
      <c r="AF10" s="9">
        <f t="shared" si="2"/>
        <v>0</v>
      </c>
      <c r="AG10" s="9">
        <f t="shared" si="2"/>
        <v>0</v>
      </c>
      <c r="AH10" s="9">
        <f t="shared" si="2"/>
        <v>0</v>
      </c>
      <c r="AI10" s="9">
        <f t="shared" si="2"/>
        <v>0</v>
      </c>
      <c r="AJ10" s="9">
        <f t="shared" si="2"/>
        <v>0</v>
      </c>
      <c r="AK10" s="9">
        <f t="shared" si="2"/>
        <v>0</v>
      </c>
      <c r="AL10" s="9">
        <f t="shared" si="2"/>
        <v>0</v>
      </c>
      <c r="AM10" s="9">
        <f t="shared" si="2"/>
        <v>0</v>
      </c>
      <c r="AN10" s="9">
        <f t="shared" si="2"/>
        <v>0</v>
      </c>
      <c r="AO10" s="9">
        <f t="shared" si="2"/>
        <v>0</v>
      </c>
      <c r="AP10" s="9">
        <f t="shared" si="2"/>
        <v>0</v>
      </c>
      <c r="AQ10" s="9">
        <f t="shared" si="2"/>
        <v>0</v>
      </c>
      <c r="AR10" s="9">
        <f t="shared" si="2"/>
        <v>308.64999999999998</v>
      </c>
      <c r="AS10" s="9">
        <f t="shared" si="2"/>
        <v>0</v>
      </c>
      <c r="AT10" s="365">
        <f t="shared" si="3"/>
        <v>308.64999999999998</v>
      </c>
      <c r="AU10" s="416"/>
      <c r="AV10" s="7">
        <f t="shared" si="8"/>
        <v>0</v>
      </c>
      <c r="AW10" s="7">
        <f t="shared" si="4"/>
        <v>0</v>
      </c>
      <c r="AX10" s="7">
        <f t="shared" si="4"/>
        <v>0</v>
      </c>
      <c r="AY10" s="7">
        <f t="shared" si="4"/>
        <v>0</v>
      </c>
      <c r="AZ10" s="7">
        <f t="shared" si="4"/>
        <v>0</v>
      </c>
      <c r="BA10" s="7">
        <f t="shared" si="4"/>
        <v>0</v>
      </c>
      <c r="BB10" s="7">
        <f t="shared" si="4"/>
        <v>0</v>
      </c>
      <c r="BC10" s="7">
        <f t="shared" si="4"/>
        <v>0</v>
      </c>
      <c r="BD10" s="7">
        <f t="shared" si="4"/>
        <v>0</v>
      </c>
      <c r="BE10" s="7">
        <f t="shared" si="4"/>
        <v>0</v>
      </c>
      <c r="BF10" s="7">
        <f t="shared" si="4"/>
        <v>0</v>
      </c>
      <c r="BG10" s="7">
        <f t="shared" si="4"/>
        <v>0</v>
      </c>
      <c r="BH10" s="7">
        <f t="shared" si="4"/>
        <v>0</v>
      </c>
      <c r="BI10" s="420">
        <f t="shared" si="5"/>
        <v>0</v>
      </c>
    </row>
    <row r="11" spans="1:61">
      <c r="A11" s="1" t="s">
        <v>705</v>
      </c>
      <c r="B11" s="4">
        <v>15008670</v>
      </c>
      <c r="C11" s="1" t="s">
        <v>114</v>
      </c>
      <c r="D11" s="1" t="s">
        <v>114</v>
      </c>
      <c r="E11" s="7">
        <v>1987</v>
      </c>
      <c r="F11" s="7">
        <v>117</v>
      </c>
      <c r="G11" s="1" t="s">
        <v>114</v>
      </c>
      <c r="H11" s="7">
        <v>100</v>
      </c>
      <c r="I11" s="7">
        <v>1</v>
      </c>
      <c r="K11" s="1" t="s">
        <v>403</v>
      </c>
      <c r="L11" s="1" t="s">
        <v>745</v>
      </c>
      <c r="M11" s="333" t="s">
        <v>744</v>
      </c>
      <c r="N11" s="332">
        <v>40509</v>
      </c>
      <c r="O11" s="181">
        <v>5318.46</v>
      </c>
      <c r="P11" s="184">
        <v>4638.6499999999996</v>
      </c>
      <c r="Q11" s="229">
        <v>5152.88</v>
      </c>
      <c r="R11" s="192">
        <v>6794.55</v>
      </c>
      <c r="S11" s="195">
        <v>4207.8999999999996</v>
      </c>
      <c r="T11" s="238">
        <v>2740.5</v>
      </c>
      <c r="U11" s="347">
        <v>3075.27</v>
      </c>
      <c r="V11" s="212">
        <v>3913.95</v>
      </c>
      <c r="W11" s="217">
        <v>3877.54</v>
      </c>
      <c r="X11" s="220">
        <v>3195.16</v>
      </c>
      <c r="Y11" s="304">
        <v>2766.8</v>
      </c>
      <c r="Z11" s="172">
        <v>3057.97</v>
      </c>
      <c r="AA11" s="312">
        <f t="shared" si="6"/>
        <v>19886.689999999999</v>
      </c>
      <c r="AB11" s="398">
        <f t="shared" si="9"/>
        <v>48739.630000000005</v>
      </c>
      <c r="AD11" s="9">
        <f t="shared" si="7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9">
        <f t="shared" si="2"/>
        <v>0</v>
      </c>
      <c r="AK11" s="9">
        <f t="shared" si="2"/>
        <v>0</v>
      </c>
      <c r="AL11" s="9">
        <f t="shared" si="2"/>
        <v>0</v>
      </c>
      <c r="AM11" s="9">
        <f t="shared" si="2"/>
        <v>0</v>
      </c>
      <c r="AN11" s="9">
        <f t="shared" si="2"/>
        <v>0</v>
      </c>
      <c r="AO11" s="9">
        <f t="shared" si="2"/>
        <v>0</v>
      </c>
      <c r="AP11" s="9">
        <f t="shared" si="2"/>
        <v>0</v>
      </c>
      <c r="AQ11" s="9">
        <f t="shared" si="2"/>
        <v>0</v>
      </c>
      <c r="AR11" s="9">
        <f t="shared" si="2"/>
        <v>0</v>
      </c>
      <c r="AS11" s="9">
        <f t="shared" si="2"/>
        <v>19886.689999999999</v>
      </c>
      <c r="AT11" s="365">
        <f t="shared" si="3"/>
        <v>19886.689999999999</v>
      </c>
      <c r="AU11" s="416"/>
      <c r="AV11" s="7">
        <f t="shared" si="8"/>
        <v>0</v>
      </c>
      <c r="AW11" s="7">
        <f t="shared" si="4"/>
        <v>0</v>
      </c>
      <c r="AX11" s="7">
        <f t="shared" si="4"/>
        <v>0</v>
      </c>
      <c r="AY11" s="7">
        <f t="shared" si="4"/>
        <v>0</v>
      </c>
      <c r="AZ11" s="7">
        <f t="shared" si="4"/>
        <v>0</v>
      </c>
      <c r="BA11" s="7">
        <f t="shared" si="4"/>
        <v>0</v>
      </c>
      <c r="BB11" s="7">
        <f t="shared" si="4"/>
        <v>0</v>
      </c>
      <c r="BC11" s="7">
        <f t="shared" si="4"/>
        <v>0</v>
      </c>
      <c r="BD11" s="7">
        <f t="shared" si="4"/>
        <v>0</v>
      </c>
      <c r="BE11" s="7">
        <f t="shared" si="4"/>
        <v>0</v>
      </c>
      <c r="BF11" s="7">
        <f t="shared" si="4"/>
        <v>0</v>
      </c>
      <c r="BG11" s="7">
        <f t="shared" si="4"/>
        <v>0</v>
      </c>
      <c r="BH11" s="7">
        <f t="shared" si="4"/>
        <v>100</v>
      </c>
      <c r="BI11" s="420">
        <f t="shared" si="5"/>
        <v>100</v>
      </c>
    </row>
    <row r="12" spans="1:61">
      <c r="A12" s="1" t="s">
        <v>662</v>
      </c>
      <c r="B12" s="4">
        <v>70000000</v>
      </c>
      <c r="C12" s="1" t="s">
        <v>229</v>
      </c>
      <c r="D12" s="1" t="s">
        <v>229</v>
      </c>
      <c r="E12" s="7"/>
      <c r="F12" s="7">
        <v>89</v>
      </c>
      <c r="G12" s="1" t="s">
        <v>229</v>
      </c>
      <c r="H12" s="7">
        <v>42</v>
      </c>
      <c r="I12" s="7">
        <v>0</v>
      </c>
      <c r="K12" s="1" t="s">
        <v>826</v>
      </c>
      <c r="L12" s="1" t="s">
        <v>745</v>
      </c>
      <c r="M12" s="333" t="s">
        <v>744</v>
      </c>
      <c r="N12" s="332">
        <v>40505</v>
      </c>
      <c r="O12" s="181">
        <v>1440.07</v>
      </c>
      <c r="P12" s="184">
        <v>1570.46</v>
      </c>
      <c r="Q12" s="229">
        <v>1540.63</v>
      </c>
      <c r="R12" s="192">
        <v>1382.77</v>
      </c>
      <c r="S12" s="195">
        <v>1461.66</v>
      </c>
      <c r="T12" s="238">
        <v>1357.11</v>
      </c>
      <c r="U12" s="347">
        <v>1499.83</v>
      </c>
      <c r="V12" s="212">
        <v>1405.73</v>
      </c>
      <c r="W12" s="217">
        <v>1201.6500000000001</v>
      </c>
      <c r="X12" s="220">
        <v>1293.28</v>
      </c>
      <c r="Y12" s="304">
        <v>1362.13</v>
      </c>
      <c r="Z12" s="172">
        <v>1426.22</v>
      </c>
      <c r="AA12" s="312">
        <f t="shared" si="6"/>
        <v>8188.84</v>
      </c>
      <c r="AB12" s="384">
        <f t="shared" si="9"/>
        <v>16941.54</v>
      </c>
      <c r="AD12" s="9">
        <f t="shared" si="7"/>
        <v>0</v>
      </c>
      <c r="AE12" s="9">
        <f t="shared" si="2"/>
        <v>0</v>
      </c>
      <c r="AF12" s="9">
        <f t="shared" si="2"/>
        <v>8188.84</v>
      </c>
      <c r="AG12" s="9">
        <f t="shared" si="2"/>
        <v>0</v>
      </c>
      <c r="AH12" s="9">
        <f t="shared" si="2"/>
        <v>0</v>
      </c>
      <c r="AI12" s="9">
        <f t="shared" si="2"/>
        <v>0</v>
      </c>
      <c r="AJ12" s="9">
        <f t="shared" si="2"/>
        <v>0</v>
      </c>
      <c r="AK12" s="9">
        <f t="shared" si="2"/>
        <v>0</v>
      </c>
      <c r="AL12" s="9">
        <f t="shared" si="2"/>
        <v>0</v>
      </c>
      <c r="AM12" s="9">
        <f t="shared" si="2"/>
        <v>0</v>
      </c>
      <c r="AN12" s="9">
        <f t="shared" si="2"/>
        <v>0</v>
      </c>
      <c r="AO12" s="9">
        <f t="shared" si="2"/>
        <v>0</v>
      </c>
      <c r="AP12" s="9">
        <f t="shared" si="2"/>
        <v>0</v>
      </c>
      <c r="AQ12" s="9">
        <f t="shared" si="2"/>
        <v>0</v>
      </c>
      <c r="AR12" s="9">
        <f t="shared" si="2"/>
        <v>0</v>
      </c>
      <c r="AS12" s="9">
        <f t="shared" si="2"/>
        <v>0</v>
      </c>
      <c r="AT12" s="365">
        <f t="shared" si="3"/>
        <v>8188.84</v>
      </c>
      <c r="AU12" s="416"/>
      <c r="AV12" s="7">
        <f t="shared" si="8"/>
        <v>0</v>
      </c>
      <c r="AW12" s="7">
        <f t="shared" si="4"/>
        <v>0</v>
      </c>
      <c r="AX12" s="7">
        <f t="shared" si="4"/>
        <v>42</v>
      </c>
      <c r="AY12" s="7">
        <f t="shared" si="4"/>
        <v>0</v>
      </c>
      <c r="AZ12" s="7">
        <f t="shared" si="4"/>
        <v>0</v>
      </c>
      <c r="BA12" s="7">
        <f t="shared" si="4"/>
        <v>0</v>
      </c>
      <c r="BB12" s="7">
        <f t="shared" si="4"/>
        <v>0</v>
      </c>
      <c r="BC12" s="7">
        <f t="shared" si="4"/>
        <v>0</v>
      </c>
      <c r="BD12" s="7">
        <f t="shared" si="4"/>
        <v>0</v>
      </c>
      <c r="BE12" s="7">
        <f t="shared" si="4"/>
        <v>0</v>
      </c>
      <c r="BF12" s="7">
        <f t="shared" si="4"/>
        <v>0</v>
      </c>
      <c r="BG12" s="7">
        <f t="shared" si="4"/>
        <v>0</v>
      </c>
      <c r="BH12" s="7">
        <f t="shared" si="4"/>
        <v>0</v>
      </c>
      <c r="BI12" s="420">
        <f t="shared" si="5"/>
        <v>42</v>
      </c>
    </row>
    <row r="13" spans="1:61">
      <c r="A13" s="1" t="s">
        <v>970</v>
      </c>
      <c r="B13" s="4">
        <v>15037912</v>
      </c>
      <c r="C13" s="1" t="s">
        <v>692</v>
      </c>
      <c r="D13" s="1" t="s">
        <v>880</v>
      </c>
      <c r="O13" s="181">
        <v>94.82</v>
      </c>
      <c r="P13" s="136"/>
      <c r="Q13" s="229">
        <v>39.69</v>
      </c>
      <c r="R13" s="192">
        <v>180.82</v>
      </c>
      <c r="S13" s="136"/>
      <c r="T13" s="136"/>
      <c r="U13" s="136"/>
      <c r="V13" s="136"/>
      <c r="W13" s="136"/>
      <c r="X13" s="136"/>
      <c r="Y13" s="136"/>
      <c r="Z13" s="136"/>
      <c r="AA13" s="312">
        <f t="shared" si="6"/>
        <v>0</v>
      </c>
      <c r="AB13" s="392">
        <f t="shared" si="9"/>
        <v>315.33</v>
      </c>
      <c r="AD13" s="9">
        <f t="shared" si="7"/>
        <v>0</v>
      </c>
      <c r="AE13" s="9">
        <f t="shared" si="2"/>
        <v>0</v>
      </c>
      <c r="AF13" s="9">
        <f t="shared" si="2"/>
        <v>0</v>
      </c>
      <c r="AG13" s="9">
        <f t="shared" si="2"/>
        <v>0</v>
      </c>
      <c r="AH13" s="9">
        <f t="shared" si="2"/>
        <v>0</v>
      </c>
      <c r="AI13" s="9">
        <f t="shared" si="2"/>
        <v>0</v>
      </c>
      <c r="AJ13" s="9">
        <f t="shared" si="2"/>
        <v>0</v>
      </c>
      <c r="AK13" s="9">
        <f t="shared" si="2"/>
        <v>0</v>
      </c>
      <c r="AL13" s="9">
        <f t="shared" si="2"/>
        <v>0</v>
      </c>
      <c r="AM13" s="9">
        <f t="shared" si="2"/>
        <v>0</v>
      </c>
      <c r="AN13" s="9">
        <f t="shared" si="2"/>
        <v>0</v>
      </c>
      <c r="AO13" s="9">
        <f t="shared" si="2"/>
        <v>0</v>
      </c>
      <c r="AP13" s="9">
        <f t="shared" si="2"/>
        <v>0</v>
      </c>
      <c r="AQ13" s="9">
        <f t="shared" si="2"/>
        <v>0</v>
      </c>
      <c r="AR13" s="9">
        <f t="shared" si="2"/>
        <v>0</v>
      </c>
      <c r="AS13" s="9">
        <f t="shared" si="2"/>
        <v>0</v>
      </c>
      <c r="AT13" s="365">
        <f t="shared" si="3"/>
        <v>0</v>
      </c>
      <c r="AU13" s="416"/>
      <c r="AV13" s="7">
        <f t="shared" si="8"/>
        <v>0</v>
      </c>
      <c r="AW13" s="7">
        <f t="shared" si="4"/>
        <v>0</v>
      </c>
      <c r="AX13" s="7">
        <f t="shared" si="4"/>
        <v>0</v>
      </c>
      <c r="AY13" s="7">
        <f t="shared" si="4"/>
        <v>0</v>
      </c>
      <c r="AZ13" s="7">
        <f t="shared" si="4"/>
        <v>0</v>
      </c>
      <c r="BA13" s="7">
        <f t="shared" si="4"/>
        <v>0</v>
      </c>
      <c r="BB13" s="7">
        <f t="shared" si="4"/>
        <v>0</v>
      </c>
      <c r="BC13" s="7">
        <f t="shared" si="4"/>
        <v>0</v>
      </c>
      <c r="BD13" s="7">
        <f t="shared" si="4"/>
        <v>0</v>
      </c>
      <c r="BE13" s="7">
        <f t="shared" si="4"/>
        <v>0</v>
      </c>
      <c r="BF13" s="7">
        <f t="shared" si="4"/>
        <v>0</v>
      </c>
      <c r="BG13" s="7">
        <f t="shared" si="4"/>
        <v>0</v>
      </c>
      <c r="BH13" s="7">
        <f t="shared" si="4"/>
        <v>0</v>
      </c>
      <c r="BI13" s="420">
        <f t="shared" si="5"/>
        <v>0</v>
      </c>
    </row>
    <row r="14" spans="1:61">
      <c r="A14" s="1" t="s">
        <v>970</v>
      </c>
      <c r="B14" s="4">
        <v>15064067</v>
      </c>
      <c r="D14" s="1" t="s">
        <v>894</v>
      </c>
      <c r="O14" s="181">
        <v>311.23</v>
      </c>
      <c r="P14" s="184">
        <v>220.87</v>
      </c>
      <c r="Q14" s="229">
        <v>23.8</v>
      </c>
      <c r="R14" s="192">
        <v>20.14</v>
      </c>
      <c r="S14" s="195">
        <v>23.38</v>
      </c>
      <c r="T14" s="238">
        <v>21.97</v>
      </c>
      <c r="U14" s="136"/>
      <c r="V14" s="212">
        <v>87.88</v>
      </c>
      <c r="W14" s="217">
        <v>127.58</v>
      </c>
      <c r="X14" s="136"/>
      <c r="Y14" s="136"/>
      <c r="Z14" s="136"/>
      <c r="AA14" s="312">
        <f t="shared" si="6"/>
        <v>215.45999999999998</v>
      </c>
      <c r="AB14" s="392">
        <f t="shared" si="9"/>
        <v>836.85</v>
      </c>
      <c r="AD14" s="9">
        <f t="shared" si="7"/>
        <v>0</v>
      </c>
      <c r="AE14" s="9">
        <f t="shared" si="2"/>
        <v>0</v>
      </c>
      <c r="AF14" s="9">
        <f t="shared" si="2"/>
        <v>0</v>
      </c>
      <c r="AG14" s="9">
        <f t="shared" si="2"/>
        <v>0</v>
      </c>
      <c r="AH14" s="9">
        <f t="shared" si="2"/>
        <v>0</v>
      </c>
      <c r="AI14" s="9">
        <f t="shared" si="2"/>
        <v>0</v>
      </c>
      <c r="AJ14" s="9">
        <f t="shared" si="2"/>
        <v>0</v>
      </c>
      <c r="AK14" s="9">
        <f t="shared" si="2"/>
        <v>0</v>
      </c>
      <c r="AL14" s="9">
        <f t="shared" si="2"/>
        <v>0</v>
      </c>
      <c r="AM14" s="9">
        <f t="shared" si="2"/>
        <v>0</v>
      </c>
      <c r="AN14" s="9">
        <f t="shared" si="2"/>
        <v>0</v>
      </c>
      <c r="AO14" s="9">
        <f t="shared" si="2"/>
        <v>0</v>
      </c>
      <c r="AP14" s="9">
        <f t="shared" si="2"/>
        <v>0</v>
      </c>
      <c r="AQ14" s="9">
        <f t="shared" si="2"/>
        <v>0</v>
      </c>
      <c r="AR14" s="9">
        <f t="shared" si="2"/>
        <v>215.45999999999998</v>
      </c>
      <c r="AS14" s="9">
        <f t="shared" si="2"/>
        <v>0</v>
      </c>
      <c r="AT14" s="365">
        <f t="shared" si="3"/>
        <v>215.45999999999998</v>
      </c>
      <c r="AU14" s="416"/>
      <c r="AV14" s="7">
        <f t="shared" si="8"/>
        <v>0</v>
      </c>
      <c r="AW14" s="7">
        <f t="shared" si="4"/>
        <v>0</v>
      </c>
      <c r="AX14" s="7">
        <f t="shared" si="4"/>
        <v>0</v>
      </c>
      <c r="AY14" s="7">
        <f t="shared" si="4"/>
        <v>0</v>
      </c>
      <c r="AZ14" s="7">
        <f t="shared" si="4"/>
        <v>0</v>
      </c>
      <c r="BA14" s="7">
        <f t="shared" si="4"/>
        <v>0</v>
      </c>
      <c r="BB14" s="7">
        <f t="shared" si="4"/>
        <v>0</v>
      </c>
      <c r="BC14" s="7">
        <f t="shared" si="4"/>
        <v>0</v>
      </c>
      <c r="BD14" s="7">
        <f t="shared" si="4"/>
        <v>0</v>
      </c>
      <c r="BE14" s="7">
        <f t="shared" si="4"/>
        <v>0</v>
      </c>
      <c r="BF14" s="7">
        <f t="shared" si="4"/>
        <v>0</v>
      </c>
      <c r="BG14" s="7">
        <f t="shared" si="4"/>
        <v>0</v>
      </c>
      <c r="BH14" s="7">
        <f t="shared" si="4"/>
        <v>0</v>
      </c>
      <c r="BI14" s="420">
        <f t="shared" si="5"/>
        <v>0</v>
      </c>
    </row>
    <row r="15" spans="1:61">
      <c r="A15" s="1" t="s">
        <v>970</v>
      </c>
      <c r="B15" s="4">
        <v>15057248</v>
      </c>
      <c r="D15" s="1" t="s">
        <v>879</v>
      </c>
      <c r="O15" s="181">
        <v>72.42</v>
      </c>
      <c r="P15" s="136"/>
      <c r="Q15" s="136"/>
      <c r="R15" s="192">
        <v>72.510000000000005</v>
      </c>
      <c r="S15" s="136"/>
      <c r="T15" s="238">
        <v>72.510000000000005</v>
      </c>
      <c r="U15" s="136"/>
      <c r="V15" s="136"/>
      <c r="W15" s="136"/>
      <c r="X15" s="217"/>
      <c r="Y15" s="136"/>
      <c r="Z15" s="136"/>
      <c r="AA15" s="312">
        <f t="shared" si="6"/>
        <v>0</v>
      </c>
      <c r="AB15" s="392">
        <f t="shared" si="9"/>
        <v>217.44</v>
      </c>
      <c r="AD15" s="9">
        <f t="shared" si="7"/>
        <v>0</v>
      </c>
      <c r="AE15" s="9">
        <f t="shared" si="2"/>
        <v>0</v>
      </c>
      <c r="AF15" s="9">
        <f t="shared" si="2"/>
        <v>0</v>
      </c>
      <c r="AG15" s="9">
        <f t="shared" si="2"/>
        <v>0</v>
      </c>
      <c r="AH15" s="9">
        <f t="shared" si="2"/>
        <v>0</v>
      </c>
      <c r="AI15" s="9">
        <f t="shared" si="2"/>
        <v>0</v>
      </c>
      <c r="AJ15" s="9">
        <f t="shared" si="2"/>
        <v>0</v>
      </c>
      <c r="AK15" s="9">
        <f t="shared" si="2"/>
        <v>0</v>
      </c>
      <c r="AL15" s="9">
        <f t="shared" si="2"/>
        <v>0</v>
      </c>
      <c r="AM15" s="9">
        <f t="shared" si="2"/>
        <v>0</v>
      </c>
      <c r="AN15" s="9">
        <f t="shared" si="2"/>
        <v>0</v>
      </c>
      <c r="AO15" s="9">
        <f t="shared" si="2"/>
        <v>0</v>
      </c>
      <c r="AP15" s="9">
        <f t="shared" si="2"/>
        <v>0</v>
      </c>
      <c r="AQ15" s="9">
        <f t="shared" si="2"/>
        <v>0</v>
      </c>
      <c r="AR15" s="9">
        <f t="shared" si="2"/>
        <v>0</v>
      </c>
      <c r="AS15" s="9">
        <f t="shared" si="2"/>
        <v>0</v>
      </c>
      <c r="AT15" s="365">
        <f t="shared" si="3"/>
        <v>0</v>
      </c>
      <c r="AU15" s="416"/>
      <c r="AV15" s="7">
        <f t="shared" si="8"/>
        <v>0</v>
      </c>
      <c r="AW15" s="7">
        <f t="shared" si="4"/>
        <v>0</v>
      </c>
      <c r="AX15" s="7">
        <f t="shared" si="4"/>
        <v>0</v>
      </c>
      <c r="AY15" s="7">
        <f t="shared" si="4"/>
        <v>0</v>
      </c>
      <c r="AZ15" s="7">
        <f t="shared" si="4"/>
        <v>0</v>
      </c>
      <c r="BA15" s="7">
        <f t="shared" si="4"/>
        <v>0</v>
      </c>
      <c r="BB15" s="7">
        <f t="shared" si="4"/>
        <v>0</v>
      </c>
      <c r="BC15" s="7">
        <f t="shared" si="4"/>
        <v>0</v>
      </c>
      <c r="BD15" s="7">
        <f t="shared" si="4"/>
        <v>0</v>
      </c>
      <c r="BE15" s="7">
        <f t="shared" si="4"/>
        <v>0</v>
      </c>
      <c r="BF15" s="7">
        <f t="shared" si="4"/>
        <v>0</v>
      </c>
      <c r="BG15" s="7">
        <f t="shared" si="4"/>
        <v>0</v>
      </c>
      <c r="BH15" s="7">
        <f t="shared" si="4"/>
        <v>0</v>
      </c>
      <c r="BI15" s="420">
        <f t="shared" si="5"/>
        <v>0</v>
      </c>
    </row>
    <row r="16" spans="1:61">
      <c r="A16" s="1" t="s">
        <v>535</v>
      </c>
      <c r="B16" s="4">
        <v>7003201</v>
      </c>
      <c r="C16" s="1" t="s">
        <v>525</v>
      </c>
      <c r="D16" s="1" t="s">
        <v>385</v>
      </c>
      <c r="E16" s="338">
        <v>40057</v>
      </c>
      <c r="F16" s="7">
        <v>4130</v>
      </c>
      <c r="G16" s="1" t="s">
        <v>385</v>
      </c>
      <c r="H16" s="7">
        <v>80</v>
      </c>
      <c r="I16" s="7"/>
      <c r="J16" s="1" t="s">
        <v>753</v>
      </c>
      <c r="K16" s="1" t="s">
        <v>752</v>
      </c>
      <c r="L16" s="1" t="s">
        <v>745</v>
      </c>
      <c r="M16" s="333" t="s">
        <v>744</v>
      </c>
      <c r="N16" s="332">
        <v>40511</v>
      </c>
      <c r="O16" s="181">
        <v>15592.16</v>
      </c>
      <c r="P16" s="184">
        <v>13078.73</v>
      </c>
      <c r="Q16" s="229">
        <v>14062.76</v>
      </c>
      <c r="R16" s="192">
        <v>16897.37</v>
      </c>
      <c r="S16" s="195">
        <v>10313.030000000001</v>
      </c>
      <c r="T16" s="238">
        <v>7855.63</v>
      </c>
      <c r="U16" s="347">
        <v>9345.9</v>
      </c>
      <c r="V16" s="212">
        <v>8670.91</v>
      </c>
      <c r="W16" s="217">
        <v>9451.8700000000008</v>
      </c>
      <c r="X16" s="220">
        <v>3488.73</v>
      </c>
      <c r="Y16" s="304">
        <v>5474.03</v>
      </c>
      <c r="Z16" s="172">
        <v>6892.18</v>
      </c>
      <c r="AA16" s="312">
        <f t="shared" si="6"/>
        <v>43323.62</v>
      </c>
      <c r="AB16" s="384">
        <f t="shared" si="9"/>
        <v>121123.29999999999</v>
      </c>
      <c r="AD16" s="9">
        <f t="shared" si="7"/>
        <v>0</v>
      </c>
      <c r="AE16" s="9">
        <f t="shared" si="2"/>
        <v>0</v>
      </c>
      <c r="AF16" s="9">
        <f t="shared" si="2"/>
        <v>0</v>
      </c>
      <c r="AG16" s="9">
        <f t="shared" si="2"/>
        <v>0</v>
      </c>
      <c r="AH16" s="9">
        <f t="shared" si="2"/>
        <v>0</v>
      </c>
      <c r="AI16" s="9">
        <f t="shared" si="2"/>
        <v>0</v>
      </c>
      <c r="AJ16" s="9">
        <f t="shared" si="2"/>
        <v>0</v>
      </c>
      <c r="AK16" s="9">
        <f t="shared" si="2"/>
        <v>43323.62</v>
      </c>
      <c r="AL16" s="9">
        <f t="shared" si="2"/>
        <v>0</v>
      </c>
      <c r="AM16" s="9">
        <f t="shared" si="2"/>
        <v>0</v>
      </c>
      <c r="AN16" s="9">
        <f t="shared" si="2"/>
        <v>0</v>
      </c>
      <c r="AO16" s="9">
        <f t="shared" si="2"/>
        <v>0</v>
      </c>
      <c r="AP16" s="9">
        <f t="shared" si="2"/>
        <v>0</v>
      </c>
      <c r="AQ16" s="9">
        <f t="shared" si="2"/>
        <v>0</v>
      </c>
      <c r="AR16" s="9">
        <f t="shared" si="2"/>
        <v>0</v>
      </c>
      <c r="AS16" s="9">
        <f t="shared" si="2"/>
        <v>0</v>
      </c>
      <c r="AT16" s="365">
        <f t="shared" si="3"/>
        <v>43323.62</v>
      </c>
      <c r="AU16" s="416"/>
      <c r="AV16" s="7">
        <f t="shared" si="8"/>
        <v>0</v>
      </c>
      <c r="AW16" s="7">
        <f t="shared" si="4"/>
        <v>0</v>
      </c>
      <c r="AX16" s="7">
        <f t="shared" si="4"/>
        <v>0</v>
      </c>
      <c r="AY16" s="7">
        <f t="shared" si="4"/>
        <v>0</v>
      </c>
      <c r="AZ16" s="7">
        <f t="shared" si="4"/>
        <v>0</v>
      </c>
      <c r="BA16" s="7">
        <f t="shared" si="4"/>
        <v>0</v>
      </c>
      <c r="BB16" s="7">
        <f t="shared" si="4"/>
        <v>80</v>
      </c>
      <c r="BC16" s="7">
        <f t="shared" si="4"/>
        <v>0</v>
      </c>
      <c r="BD16" s="7">
        <f t="shared" si="4"/>
        <v>0</v>
      </c>
      <c r="BE16" s="7">
        <f t="shared" si="4"/>
        <v>0</v>
      </c>
      <c r="BF16" s="7">
        <f t="shared" si="4"/>
        <v>0</v>
      </c>
      <c r="BG16" s="7">
        <f t="shared" si="4"/>
        <v>0</v>
      </c>
      <c r="BH16" s="7">
        <f t="shared" si="4"/>
        <v>0</v>
      </c>
      <c r="BI16" s="420">
        <f t="shared" si="5"/>
        <v>80</v>
      </c>
    </row>
    <row r="17" spans="1:61" s="17" customFormat="1" ht="10.5">
      <c r="A17" s="1" t="s">
        <v>970</v>
      </c>
      <c r="B17" s="4">
        <v>15063096</v>
      </c>
      <c r="C17" s="1"/>
      <c r="D17" s="1" t="s">
        <v>910</v>
      </c>
      <c r="E17" s="1"/>
      <c r="F17" s="7"/>
      <c r="G17" s="1"/>
      <c r="H17" s="1"/>
      <c r="I17" s="1"/>
      <c r="J17" s="1"/>
      <c r="K17" s="1"/>
      <c r="L17" s="1"/>
      <c r="M17" s="1"/>
      <c r="N17" s="1"/>
      <c r="O17" s="192">
        <v>105.75</v>
      </c>
      <c r="P17" s="192">
        <v>442.77</v>
      </c>
      <c r="Q17" s="192">
        <v>106.66</v>
      </c>
      <c r="R17" s="347">
        <v>392.97</v>
      </c>
      <c r="S17" s="347">
        <v>52.91</v>
      </c>
      <c r="T17" s="136"/>
      <c r="U17" s="136"/>
      <c r="V17" s="136"/>
      <c r="W17" s="136"/>
      <c r="X17" s="136"/>
      <c r="Y17" s="136"/>
      <c r="Z17" s="136"/>
      <c r="AA17" s="312">
        <f t="shared" si="6"/>
        <v>0</v>
      </c>
      <c r="AB17" s="392">
        <f t="shared" si="9"/>
        <v>1101.0600000000002</v>
      </c>
      <c r="AC17" s="1"/>
      <c r="AD17" s="9">
        <f t="shared" si="7"/>
        <v>0</v>
      </c>
      <c r="AE17" s="9">
        <f t="shared" si="2"/>
        <v>0</v>
      </c>
      <c r="AF17" s="9">
        <f t="shared" si="2"/>
        <v>0</v>
      </c>
      <c r="AG17" s="9">
        <f t="shared" si="2"/>
        <v>0</v>
      </c>
      <c r="AH17" s="9">
        <f t="shared" si="2"/>
        <v>0</v>
      </c>
      <c r="AI17" s="9">
        <f t="shared" si="2"/>
        <v>0</v>
      </c>
      <c r="AJ17" s="9">
        <f t="shared" si="2"/>
        <v>0</v>
      </c>
      <c r="AK17" s="9">
        <f t="shared" si="2"/>
        <v>0</v>
      </c>
      <c r="AL17" s="9">
        <f t="shared" si="2"/>
        <v>0</v>
      </c>
      <c r="AM17" s="9">
        <f t="shared" si="2"/>
        <v>0</v>
      </c>
      <c r="AN17" s="9">
        <f t="shared" si="2"/>
        <v>0</v>
      </c>
      <c r="AO17" s="9">
        <f t="shared" si="2"/>
        <v>0</v>
      </c>
      <c r="AP17" s="9">
        <f t="shared" si="2"/>
        <v>0</v>
      </c>
      <c r="AQ17" s="9">
        <f t="shared" si="2"/>
        <v>0</v>
      </c>
      <c r="AR17" s="9">
        <f t="shared" si="2"/>
        <v>0</v>
      </c>
      <c r="AS17" s="9">
        <f t="shared" si="2"/>
        <v>0</v>
      </c>
      <c r="AT17" s="365">
        <f t="shared" si="3"/>
        <v>0</v>
      </c>
      <c r="AU17" s="416"/>
      <c r="AV17" s="7">
        <f t="shared" si="8"/>
        <v>0</v>
      </c>
      <c r="AW17" s="7">
        <f t="shared" si="8"/>
        <v>0</v>
      </c>
      <c r="AX17" s="7">
        <f t="shared" si="8"/>
        <v>0</v>
      </c>
      <c r="AY17" s="7">
        <f t="shared" si="8"/>
        <v>0</v>
      </c>
      <c r="AZ17" s="7">
        <f t="shared" si="8"/>
        <v>0</v>
      </c>
      <c r="BA17" s="7">
        <f t="shared" si="8"/>
        <v>0</v>
      </c>
      <c r="BB17" s="7">
        <f t="shared" si="8"/>
        <v>0</v>
      </c>
      <c r="BC17" s="7">
        <f t="shared" si="8"/>
        <v>0</v>
      </c>
      <c r="BD17" s="7">
        <f t="shared" si="8"/>
        <v>0</v>
      </c>
      <c r="BE17" s="7">
        <f t="shared" si="8"/>
        <v>0</v>
      </c>
      <c r="BF17" s="7">
        <f t="shared" si="8"/>
        <v>0</v>
      </c>
      <c r="BG17" s="7">
        <f t="shared" si="8"/>
        <v>0</v>
      </c>
      <c r="BH17" s="7">
        <f t="shared" si="8"/>
        <v>0</v>
      </c>
      <c r="BI17" s="420">
        <f t="shared" si="5"/>
        <v>0</v>
      </c>
    </row>
    <row r="18" spans="1:61">
      <c r="A18" s="1" t="s">
        <v>662</v>
      </c>
      <c r="B18" s="42">
        <v>7000200</v>
      </c>
      <c r="C18" s="11" t="s">
        <v>230</v>
      </c>
      <c r="D18" s="11" t="s">
        <v>230</v>
      </c>
      <c r="E18" s="7"/>
      <c r="F18" s="340">
        <v>90</v>
      </c>
      <c r="G18" s="1" t="s">
        <v>230</v>
      </c>
      <c r="H18" s="7">
        <v>72</v>
      </c>
      <c r="I18" s="7">
        <v>0</v>
      </c>
      <c r="K18" s="1" t="s">
        <v>405</v>
      </c>
      <c r="L18" s="1" t="s">
        <v>745</v>
      </c>
      <c r="M18" s="333" t="s">
        <v>744</v>
      </c>
      <c r="N18" s="332">
        <v>40505</v>
      </c>
      <c r="O18" s="434">
        <v>2108.2600000000002</v>
      </c>
      <c r="P18" s="184">
        <v>9109.5400000000009</v>
      </c>
      <c r="Q18" s="434">
        <v>1560.55</v>
      </c>
      <c r="R18" s="434">
        <v>2090.3200000000002</v>
      </c>
      <c r="S18" s="195">
        <v>6627.59</v>
      </c>
      <c r="T18" s="434">
        <v>2070.4299999999998</v>
      </c>
      <c r="U18" s="32"/>
      <c r="V18" s="434">
        <v>2166.48</v>
      </c>
      <c r="W18" s="434">
        <v>1808.8</v>
      </c>
      <c r="X18" s="434">
        <v>1811.6</v>
      </c>
      <c r="Y18" s="434">
        <v>1772.68</v>
      </c>
      <c r="Z18" s="467">
        <v>1844.93</v>
      </c>
      <c r="AA18" s="312">
        <f t="shared" si="6"/>
        <v>9404.49</v>
      </c>
      <c r="AB18" s="384">
        <f>SUM(P18:Z18)</f>
        <v>30862.92</v>
      </c>
      <c r="AD18" s="9">
        <f t="shared" si="7"/>
        <v>0</v>
      </c>
      <c r="AE18" s="9">
        <f t="shared" si="2"/>
        <v>0</v>
      </c>
      <c r="AF18" s="9">
        <f t="shared" si="2"/>
        <v>9404.49</v>
      </c>
      <c r="AG18" s="9">
        <f t="shared" si="2"/>
        <v>0</v>
      </c>
      <c r="AH18" s="9">
        <f t="shared" si="2"/>
        <v>0</v>
      </c>
      <c r="AI18" s="9">
        <f t="shared" si="2"/>
        <v>0</v>
      </c>
      <c r="AJ18" s="9">
        <f t="shared" si="2"/>
        <v>0</v>
      </c>
      <c r="AK18" s="9">
        <f t="shared" si="2"/>
        <v>0</v>
      </c>
      <c r="AL18" s="9">
        <f t="shared" si="2"/>
        <v>0</v>
      </c>
      <c r="AM18" s="9">
        <f t="shared" si="2"/>
        <v>0</v>
      </c>
      <c r="AN18" s="9">
        <f t="shared" si="2"/>
        <v>0</v>
      </c>
      <c r="AO18" s="9">
        <f t="shared" si="2"/>
        <v>0</v>
      </c>
      <c r="AP18" s="9">
        <f t="shared" si="2"/>
        <v>0</v>
      </c>
      <c r="AQ18" s="9">
        <f t="shared" si="2"/>
        <v>0</v>
      </c>
      <c r="AR18" s="9">
        <f t="shared" si="2"/>
        <v>0</v>
      </c>
      <c r="AS18" s="9">
        <f t="shared" si="2"/>
        <v>0</v>
      </c>
      <c r="AT18" s="365">
        <f t="shared" si="3"/>
        <v>9404.49</v>
      </c>
      <c r="AU18" s="416"/>
      <c r="AV18" s="7">
        <f t="shared" si="8"/>
        <v>0</v>
      </c>
      <c r="AW18" s="7">
        <f t="shared" si="8"/>
        <v>0</v>
      </c>
      <c r="AX18" s="7">
        <f t="shared" si="8"/>
        <v>72</v>
      </c>
      <c r="AY18" s="7">
        <f t="shared" si="8"/>
        <v>0</v>
      </c>
      <c r="AZ18" s="7">
        <f t="shared" si="8"/>
        <v>0</v>
      </c>
      <c r="BA18" s="7">
        <f t="shared" si="8"/>
        <v>0</v>
      </c>
      <c r="BB18" s="7">
        <f t="shared" si="8"/>
        <v>0</v>
      </c>
      <c r="BC18" s="7">
        <f t="shared" si="8"/>
        <v>0</v>
      </c>
      <c r="BD18" s="7">
        <f t="shared" si="8"/>
        <v>0</v>
      </c>
      <c r="BE18" s="7">
        <f t="shared" si="8"/>
        <v>0</v>
      </c>
      <c r="BF18" s="7">
        <f t="shared" si="8"/>
        <v>0</v>
      </c>
      <c r="BG18" s="7">
        <f t="shared" si="8"/>
        <v>0</v>
      </c>
      <c r="BH18" s="7">
        <f t="shared" si="8"/>
        <v>0</v>
      </c>
      <c r="BI18" s="420">
        <f t="shared" si="5"/>
        <v>72</v>
      </c>
    </row>
    <row r="19" spans="1:61">
      <c r="A19" s="1" t="s">
        <v>970</v>
      </c>
      <c r="B19" s="42">
        <v>15005197</v>
      </c>
      <c r="C19" s="11" t="s">
        <v>689</v>
      </c>
      <c r="D19" s="11" t="s">
        <v>600</v>
      </c>
      <c r="E19" s="11"/>
      <c r="F19" s="340"/>
      <c r="G19" s="11"/>
      <c r="H19" s="11"/>
      <c r="I19" s="11"/>
      <c r="J19" s="11"/>
      <c r="K19" s="11"/>
      <c r="L19" s="11"/>
      <c r="M19" s="11"/>
      <c r="N19" s="11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304">
        <v>84.66</v>
      </c>
      <c r="Z19" s="172">
        <v>91.92</v>
      </c>
      <c r="AA19" s="312">
        <f t="shared" si="6"/>
        <v>176.57999999999998</v>
      </c>
      <c r="AB19" s="392">
        <f t="shared" ref="AB19:AB28" si="10">SUM(O19:Z19)</f>
        <v>176.57999999999998</v>
      </c>
      <c r="AD19" s="9">
        <f t="shared" si="7"/>
        <v>0</v>
      </c>
      <c r="AE19" s="9">
        <f t="shared" si="7"/>
        <v>0</v>
      </c>
      <c r="AF19" s="9">
        <f t="shared" si="7"/>
        <v>0</v>
      </c>
      <c r="AG19" s="9">
        <f t="shared" si="7"/>
        <v>0</v>
      </c>
      <c r="AH19" s="9">
        <f t="shared" si="7"/>
        <v>0</v>
      </c>
      <c r="AI19" s="9">
        <f t="shared" si="7"/>
        <v>0</v>
      </c>
      <c r="AJ19" s="9">
        <f t="shared" si="7"/>
        <v>0</v>
      </c>
      <c r="AK19" s="9">
        <f t="shared" si="7"/>
        <v>0</v>
      </c>
      <c r="AL19" s="9">
        <f t="shared" si="7"/>
        <v>0</v>
      </c>
      <c r="AM19" s="9">
        <f t="shared" si="7"/>
        <v>0</v>
      </c>
      <c r="AN19" s="9">
        <f t="shared" si="7"/>
        <v>0</v>
      </c>
      <c r="AO19" s="9">
        <f t="shared" si="7"/>
        <v>0</v>
      </c>
      <c r="AP19" s="9">
        <f t="shared" si="7"/>
        <v>0</v>
      </c>
      <c r="AQ19" s="9">
        <f t="shared" si="7"/>
        <v>0</v>
      </c>
      <c r="AR19" s="9">
        <f t="shared" si="7"/>
        <v>176.57999999999998</v>
      </c>
      <c r="AS19" s="9">
        <f t="shared" si="7"/>
        <v>0</v>
      </c>
      <c r="AT19" s="365">
        <f t="shared" si="3"/>
        <v>176.57999999999998</v>
      </c>
      <c r="AU19" s="416"/>
      <c r="AV19" s="7">
        <f t="shared" si="8"/>
        <v>0</v>
      </c>
      <c r="AW19" s="7">
        <f t="shared" si="8"/>
        <v>0</v>
      </c>
      <c r="AX19" s="7">
        <f t="shared" si="8"/>
        <v>0</v>
      </c>
      <c r="AY19" s="7">
        <f t="shared" si="8"/>
        <v>0</v>
      </c>
      <c r="AZ19" s="7">
        <f t="shared" si="8"/>
        <v>0</v>
      </c>
      <c r="BA19" s="7">
        <f t="shared" si="8"/>
        <v>0</v>
      </c>
      <c r="BB19" s="7">
        <f t="shared" si="8"/>
        <v>0</v>
      </c>
      <c r="BC19" s="7">
        <f t="shared" si="8"/>
        <v>0</v>
      </c>
      <c r="BD19" s="7">
        <f t="shared" si="8"/>
        <v>0</v>
      </c>
      <c r="BE19" s="7">
        <f t="shared" si="8"/>
        <v>0</v>
      </c>
      <c r="BF19" s="7">
        <f t="shared" si="8"/>
        <v>0</v>
      </c>
      <c r="BG19" s="7">
        <f t="shared" si="8"/>
        <v>0</v>
      </c>
      <c r="BH19" s="7">
        <f t="shared" si="8"/>
        <v>0</v>
      </c>
      <c r="BI19" s="420">
        <f t="shared" si="5"/>
        <v>0</v>
      </c>
    </row>
    <row r="20" spans="1:61">
      <c r="A20" s="1" t="s">
        <v>535</v>
      </c>
      <c r="B20" s="42">
        <v>15051607</v>
      </c>
      <c r="C20" s="11" t="s">
        <v>640</v>
      </c>
      <c r="D20" s="11" t="s">
        <v>641</v>
      </c>
      <c r="E20" s="338">
        <v>24108</v>
      </c>
      <c r="F20" s="340">
        <v>131</v>
      </c>
      <c r="G20" s="1" t="s">
        <v>755</v>
      </c>
      <c r="H20" s="7">
        <v>291</v>
      </c>
      <c r="I20" s="7">
        <v>11</v>
      </c>
      <c r="J20" s="1" t="s">
        <v>754</v>
      </c>
      <c r="K20" s="1" t="s">
        <v>400</v>
      </c>
      <c r="L20" s="1" t="s">
        <v>745</v>
      </c>
      <c r="M20" s="333" t="s">
        <v>744</v>
      </c>
      <c r="N20" s="332">
        <v>40511</v>
      </c>
      <c r="O20" s="184">
        <v>41436.519999999997</v>
      </c>
      <c r="P20" s="184">
        <v>41436.519999999997</v>
      </c>
      <c r="Q20" s="229">
        <v>47354.34</v>
      </c>
      <c r="R20" s="192">
        <v>48080.19</v>
      </c>
      <c r="S20" s="347">
        <v>23779.11</v>
      </c>
      <c r="T20" s="347">
        <v>13589.19</v>
      </c>
      <c r="U20" s="217">
        <v>16120.88</v>
      </c>
      <c r="V20" s="220">
        <v>18661.46</v>
      </c>
      <c r="W20" s="304">
        <v>14160.33</v>
      </c>
      <c r="X20" s="172">
        <v>4594.2700000000004</v>
      </c>
      <c r="Y20" s="32"/>
      <c r="Z20" s="433">
        <v>9484.9599999999991</v>
      </c>
      <c r="AA20" s="312">
        <f t="shared" si="6"/>
        <v>63021.9</v>
      </c>
      <c r="AB20" s="384">
        <f t="shared" si="10"/>
        <v>278697.77</v>
      </c>
      <c r="AD20" s="9">
        <f t="shared" si="7"/>
        <v>0</v>
      </c>
      <c r="AE20" s="9">
        <f t="shared" si="7"/>
        <v>0</v>
      </c>
      <c r="AF20" s="9">
        <f t="shared" si="7"/>
        <v>0</v>
      </c>
      <c r="AG20" s="9">
        <f t="shared" si="7"/>
        <v>0</v>
      </c>
      <c r="AH20" s="9">
        <f t="shared" si="7"/>
        <v>0</v>
      </c>
      <c r="AI20" s="9">
        <f t="shared" si="7"/>
        <v>0</v>
      </c>
      <c r="AJ20" s="9">
        <f t="shared" si="7"/>
        <v>0</v>
      </c>
      <c r="AK20" s="9">
        <f t="shared" si="7"/>
        <v>63021.9</v>
      </c>
      <c r="AL20" s="9">
        <f t="shared" si="7"/>
        <v>0</v>
      </c>
      <c r="AM20" s="9">
        <f t="shared" si="7"/>
        <v>0</v>
      </c>
      <c r="AN20" s="9">
        <f t="shared" si="7"/>
        <v>0</v>
      </c>
      <c r="AO20" s="9">
        <f t="shared" si="7"/>
        <v>0</v>
      </c>
      <c r="AP20" s="9">
        <f t="shared" si="7"/>
        <v>0</v>
      </c>
      <c r="AQ20" s="9">
        <f t="shared" si="7"/>
        <v>0</v>
      </c>
      <c r="AR20" s="9">
        <f t="shared" si="7"/>
        <v>0</v>
      </c>
      <c r="AS20" s="9">
        <f t="shared" si="7"/>
        <v>0</v>
      </c>
      <c r="AT20" s="365">
        <f t="shared" si="3"/>
        <v>63021.9</v>
      </c>
      <c r="AU20" s="416"/>
      <c r="AV20" s="7">
        <f t="shared" si="8"/>
        <v>0</v>
      </c>
      <c r="AW20" s="7">
        <f t="shared" si="8"/>
        <v>0</v>
      </c>
      <c r="AX20" s="7">
        <f t="shared" si="8"/>
        <v>0</v>
      </c>
      <c r="AY20" s="7">
        <f t="shared" si="8"/>
        <v>0</v>
      </c>
      <c r="AZ20" s="7">
        <f t="shared" si="8"/>
        <v>0</v>
      </c>
      <c r="BA20" s="7">
        <f t="shared" si="8"/>
        <v>0</v>
      </c>
      <c r="BB20" s="7">
        <f t="shared" si="8"/>
        <v>291</v>
      </c>
      <c r="BC20" s="7">
        <f t="shared" si="8"/>
        <v>0</v>
      </c>
      <c r="BD20" s="7">
        <f t="shared" si="8"/>
        <v>0</v>
      </c>
      <c r="BE20" s="7">
        <f t="shared" si="8"/>
        <v>0</v>
      </c>
      <c r="BF20" s="7">
        <f t="shared" si="8"/>
        <v>0</v>
      </c>
      <c r="BG20" s="7">
        <f t="shared" si="8"/>
        <v>0</v>
      </c>
      <c r="BH20" s="7">
        <f t="shared" si="8"/>
        <v>0</v>
      </c>
      <c r="BI20" s="420">
        <f t="shared" si="5"/>
        <v>291</v>
      </c>
    </row>
    <row r="21" spans="1:61">
      <c r="A21" s="1" t="s">
        <v>533</v>
      </c>
      <c r="B21" s="4">
        <v>15058371</v>
      </c>
      <c r="C21" s="1" t="s">
        <v>830</v>
      </c>
      <c r="D21" s="1" t="s">
        <v>231</v>
      </c>
      <c r="E21" s="338">
        <v>35400</v>
      </c>
      <c r="F21" s="7">
        <v>92</v>
      </c>
      <c r="G21" s="1" t="s">
        <v>825</v>
      </c>
      <c r="H21" s="7">
        <v>59</v>
      </c>
      <c r="I21" s="7">
        <v>1</v>
      </c>
      <c r="J21" s="1" t="s">
        <v>754</v>
      </c>
      <c r="K21" s="1" t="s">
        <v>824</v>
      </c>
      <c r="L21" s="1" t="s">
        <v>745</v>
      </c>
      <c r="M21" s="333" t="s">
        <v>744</v>
      </c>
      <c r="N21" s="332">
        <v>40509</v>
      </c>
      <c r="O21" s="181">
        <v>6043.62</v>
      </c>
      <c r="P21" s="184">
        <v>5204.62</v>
      </c>
      <c r="Q21" s="229">
        <v>5886.92</v>
      </c>
      <c r="R21" s="192">
        <v>7271.1</v>
      </c>
      <c r="S21" s="195">
        <v>4087.97</v>
      </c>
      <c r="T21" s="347">
        <v>2706.31</v>
      </c>
      <c r="U21" s="212">
        <v>2084.6999999999998</v>
      </c>
      <c r="V21" s="220">
        <v>2874.36</v>
      </c>
      <c r="W21" s="220">
        <v>1895.74</v>
      </c>
      <c r="X21" s="220">
        <v>579.91999999999996</v>
      </c>
      <c r="Y21" s="304">
        <v>1026.79</v>
      </c>
      <c r="Z21" s="172">
        <v>1929.12</v>
      </c>
      <c r="AA21" s="312">
        <f t="shared" si="6"/>
        <v>10390.629999999997</v>
      </c>
      <c r="AB21" s="398">
        <f t="shared" si="10"/>
        <v>41591.170000000006</v>
      </c>
      <c r="AD21" s="9">
        <f t="shared" si="7"/>
        <v>0</v>
      </c>
      <c r="AE21" s="9">
        <f t="shared" si="7"/>
        <v>0</v>
      </c>
      <c r="AF21" s="9">
        <f t="shared" si="7"/>
        <v>0</v>
      </c>
      <c r="AG21" s="9">
        <f t="shared" si="7"/>
        <v>0</v>
      </c>
      <c r="AH21" s="9">
        <f t="shared" si="7"/>
        <v>0</v>
      </c>
      <c r="AI21" s="9">
        <f t="shared" si="7"/>
        <v>0</v>
      </c>
      <c r="AJ21" s="9">
        <f t="shared" si="7"/>
        <v>0</v>
      </c>
      <c r="AK21" s="9">
        <f t="shared" si="7"/>
        <v>0</v>
      </c>
      <c r="AL21" s="9">
        <f t="shared" si="7"/>
        <v>0</v>
      </c>
      <c r="AM21" s="9">
        <f t="shared" si="7"/>
        <v>10390.629999999997</v>
      </c>
      <c r="AN21" s="9">
        <f t="shared" si="7"/>
        <v>0</v>
      </c>
      <c r="AO21" s="9">
        <f t="shared" si="7"/>
        <v>0</v>
      </c>
      <c r="AP21" s="9">
        <f t="shared" si="7"/>
        <v>0</v>
      </c>
      <c r="AQ21" s="9">
        <f t="shared" si="7"/>
        <v>0</v>
      </c>
      <c r="AR21" s="9">
        <f t="shared" si="7"/>
        <v>0</v>
      </c>
      <c r="AS21" s="9">
        <f t="shared" si="7"/>
        <v>0</v>
      </c>
      <c r="AT21" s="365">
        <f t="shared" si="3"/>
        <v>10390.629999999997</v>
      </c>
      <c r="AU21" s="416"/>
      <c r="AV21" s="7">
        <f t="shared" si="8"/>
        <v>0</v>
      </c>
      <c r="AW21" s="7">
        <f t="shared" si="8"/>
        <v>0</v>
      </c>
      <c r="AX21" s="7">
        <f t="shared" si="8"/>
        <v>0</v>
      </c>
      <c r="AY21" s="7">
        <f t="shared" si="8"/>
        <v>0</v>
      </c>
      <c r="AZ21" s="7">
        <f t="shared" si="8"/>
        <v>0</v>
      </c>
      <c r="BA21" s="7">
        <f t="shared" si="8"/>
        <v>0</v>
      </c>
      <c r="BB21" s="7">
        <f t="shared" si="8"/>
        <v>0</v>
      </c>
      <c r="BC21" s="7">
        <f t="shared" si="8"/>
        <v>0</v>
      </c>
      <c r="BD21" s="7">
        <f t="shared" si="8"/>
        <v>59</v>
      </c>
      <c r="BE21" s="7">
        <f t="shared" si="8"/>
        <v>0</v>
      </c>
      <c r="BF21" s="7">
        <f t="shared" si="8"/>
        <v>0</v>
      </c>
      <c r="BG21" s="7">
        <f t="shared" si="8"/>
        <v>0</v>
      </c>
      <c r="BH21" s="7">
        <f t="shared" si="8"/>
        <v>0</v>
      </c>
      <c r="BI21" s="420">
        <f t="shared" si="5"/>
        <v>59</v>
      </c>
    </row>
    <row r="22" spans="1:61">
      <c r="A22" s="1" t="s">
        <v>659</v>
      </c>
      <c r="B22" s="4">
        <v>15031812</v>
      </c>
      <c r="C22" s="1" t="s">
        <v>707</v>
      </c>
      <c r="D22" s="1" t="s">
        <v>688</v>
      </c>
      <c r="E22" s="7">
        <v>1987</v>
      </c>
      <c r="F22" s="7">
        <v>88</v>
      </c>
      <c r="G22" s="1" t="s">
        <v>688</v>
      </c>
      <c r="H22" s="7">
        <v>105</v>
      </c>
      <c r="I22" s="7">
        <v>2</v>
      </c>
      <c r="J22" s="1" t="s">
        <v>754</v>
      </c>
      <c r="K22" s="1" t="s">
        <v>402</v>
      </c>
      <c r="L22" s="1" t="s">
        <v>745</v>
      </c>
      <c r="M22" s="333" t="s">
        <v>744</v>
      </c>
      <c r="N22" s="332">
        <v>40505</v>
      </c>
      <c r="O22" s="181">
        <v>17328.310000000001</v>
      </c>
      <c r="P22" s="184">
        <v>14459.45</v>
      </c>
      <c r="Q22" s="229">
        <v>15876.54</v>
      </c>
      <c r="R22" s="192">
        <v>19375.919999999998</v>
      </c>
      <c r="S22" s="195">
        <v>12809.77</v>
      </c>
      <c r="T22" s="238">
        <v>7398.46</v>
      </c>
      <c r="U22" s="347">
        <v>7904.13</v>
      </c>
      <c r="V22" s="212">
        <v>8985.06</v>
      </c>
      <c r="W22" s="217">
        <v>8489.07</v>
      </c>
      <c r="X22" s="220">
        <v>2292.69</v>
      </c>
      <c r="Y22" s="304">
        <v>4203.66</v>
      </c>
      <c r="Z22" s="172">
        <v>5643.58</v>
      </c>
      <c r="AA22" s="312">
        <f t="shared" si="6"/>
        <v>37518.189999999995</v>
      </c>
      <c r="AB22" s="384">
        <f t="shared" si="10"/>
        <v>124766.64000000003</v>
      </c>
      <c r="AD22" s="9">
        <f t="shared" si="7"/>
        <v>0</v>
      </c>
      <c r="AE22" s="9">
        <f t="shared" si="7"/>
        <v>0</v>
      </c>
      <c r="AF22" s="9">
        <f t="shared" si="7"/>
        <v>0</v>
      </c>
      <c r="AG22" s="9">
        <f t="shared" si="7"/>
        <v>0</v>
      </c>
      <c r="AH22" s="9">
        <f t="shared" si="7"/>
        <v>0</v>
      </c>
      <c r="AI22" s="9">
        <f t="shared" si="7"/>
        <v>0</v>
      </c>
      <c r="AJ22" s="9">
        <f t="shared" si="7"/>
        <v>0</v>
      </c>
      <c r="AK22" s="9">
        <f t="shared" si="7"/>
        <v>0</v>
      </c>
      <c r="AL22" s="9">
        <f t="shared" si="7"/>
        <v>0</v>
      </c>
      <c r="AM22" s="9">
        <f t="shared" si="7"/>
        <v>0</v>
      </c>
      <c r="AN22" s="9">
        <f t="shared" si="7"/>
        <v>0</v>
      </c>
      <c r="AO22" s="9">
        <f t="shared" si="7"/>
        <v>37518.189999999995</v>
      </c>
      <c r="AP22" s="9">
        <f t="shared" si="7"/>
        <v>0</v>
      </c>
      <c r="AQ22" s="9">
        <f t="shared" si="7"/>
        <v>0</v>
      </c>
      <c r="AR22" s="9">
        <f t="shared" si="7"/>
        <v>0</v>
      </c>
      <c r="AS22" s="9">
        <f t="shared" si="7"/>
        <v>0</v>
      </c>
      <c r="AT22" s="365">
        <f t="shared" si="3"/>
        <v>37518.189999999995</v>
      </c>
      <c r="AU22" s="416"/>
      <c r="AV22" s="7">
        <f t="shared" si="8"/>
        <v>0</v>
      </c>
      <c r="AW22" s="7">
        <f t="shared" si="8"/>
        <v>0</v>
      </c>
      <c r="AX22" s="7">
        <f t="shared" si="8"/>
        <v>0</v>
      </c>
      <c r="AY22" s="7">
        <f t="shared" si="8"/>
        <v>0</v>
      </c>
      <c r="AZ22" s="7">
        <f t="shared" si="8"/>
        <v>0</v>
      </c>
      <c r="BA22" s="7">
        <f t="shared" si="8"/>
        <v>0</v>
      </c>
      <c r="BB22" s="7">
        <f t="shared" si="8"/>
        <v>0</v>
      </c>
      <c r="BC22" s="7">
        <f t="shared" si="8"/>
        <v>0</v>
      </c>
      <c r="BD22" s="7">
        <f t="shared" si="8"/>
        <v>0</v>
      </c>
      <c r="BE22" s="7">
        <f t="shared" si="8"/>
        <v>0</v>
      </c>
      <c r="BF22" s="7">
        <f t="shared" si="8"/>
        <v>105</v>
      </c>
      <c r="BG22" s="7">
        <f t="shared" si="8"/>
        <v>0</v>
      </c>
      <c r="BH22" s="7">
        <f t="shared" si="8"/>
        <v>0</v>
      </c>
      <c r="BI22" s="420">
        <f t="shared" si="5"/>
        <v>105</v>
      </c>
    </row>
    <row r="23" spans="1:61">
      <c r="A23" s="1" t="s">
        <v>537</v>
      </c>
      <c r="B23" s="4">
        <v>15061966</v>
      </c>
      <c r="D23" s="1" t="s">
        <v>889</v>
      </c>
      <c r="H23" s="1">
        <v>72</v>
      </c>
      <c r="O23" s="181">
        <v>13325.29</v>
      </c>
      <c r="P23" s="184">
        <v>12792.13</v>
      </c>
      <c r="Q23" s="229">
        <v>12422.79</v>
      </c>
      <c r="R23" s="192">
        <v>17040.64</v>
      </c>
      <c r="S23" s="195">
        <v>10932.39</v>
      </c>
      <c r="T23" s="238">
        <v>6836.88</v>
      </c>
      <c r="U23" s="347">
        <v>7241.64</v>
      </c>
      <c r="V23" s="217">
        <v>8898.26</v>
      </c>
      <c r="W23" s="304">
        <v>6658.79</v>
      </c>
      <c r="X23" s="304">
        <v>3035.44</v>
      </c>
      <c r="Y23" s="304">
        <v>3802.4</v>
      </c>
      <c r="Z23" s="172">
        <v>6073.16</v>
      </c>
      <c r="AA23" s="312">
        <f t="shared" si="6"/>
        <v>35709.69</v>
      </c>
      <c r="AB23" s="384">
        <f t="shared" si="10"/>
        <v>109059.80999999998</v>
      </c>
      <c r="AD23" s="9">
        <f t="shared" si="7"/>
        <v>0</v>
      </c>
      <c r="AE23" s="9">
        <f t="shared" si="7"/>
        <v>35709.69</v>
      </c>
      <c r="AF23" s="9">
        <f t="shared" si="7"/>
        <v>0</v>
      </c>
      <c r="AG23" s="9">
        <f t="shared" si="7"/>
        <v>0</v>
      </c>
      <c r="AH23" s="9">
        <f t="shared" si="7"/>
        <v>0</v>
      </c>
      <c r="AI23" s="9">
        <f t="shared" si="7"/>
        <v>0</v>
      </c>
      <c r="AJ23" s="9">
        <f t="shared" si="7"/>
        <v>0</v>
      </c>
      <c r="AK23" s="9">
        <f t="shared" si="7"/>
        <v>0</v>
      </c>
      <c r="AL23" s="9">
        <f t="shared" si="7"/>
        <v>0</v>
      </c>
      <c r="AM23" s="9">
        <f t="shared" si="7"/>
        <v>0</v>
      </c>
      <c r="AN23" s="9">
        <f t="shared" si="7"/>
        <v>0</v>
      </c>
      <c r="AO23" s="9">
        <f t="shared" si="7"/>
        <v>0</v>
      </c>
      <c r="AP23" s="9">
        <f t="shared" si="7"/>
        <v>0</v>
      </c>
      <c r="AQ23" s="9">
        <f t="shared" si="7"/>
        <v>0</v>
      </c>
      <c r="AR23" s="9">
        <f t="shared" si="7"/>
        <v>0</v>
      </c>
      <c r="AS23" s="9">
        <f t="shared" si="7"/>
        <v>0</v>
      </c>
      <c r="AT23" s="365">
        <f t="shared" si="3"/>
        <v>35709.69</v>
      </c>
      <c r="AU23" s="416"/>
      <c r="AV23" s="7">
        <f t="shared" si="8"/>
        <v>0</v>
      </c>
      <c r="AW23" s="7">
        <f t="shared" si="8"/>
        <v>72</v>
      </c>
      <c r="AX23" s="7">
        <f t="shared" si="8"/>
        <v>0</v>
      </c>
      <c r="AY23" s="7">
        <f t="shared" si="8"/>
        <v>0</v>
      </c>
      <c r="AZ23" s="7">
        <f t="shared" si="8"/>
        <v>0</v>
      </c>
      <c r="BA23" s="7">
        <f t="shared" si="8"/>
        <v>0</v>
      </c>
      <c r="BB23" s="7">
        <f t="shared" si="8"/>
        <v>0</v>
      </c>
      <c r="BC23" s="7">
        <f t="shared" si="8"/>
        <v>0</v>
      </c>
      <c r="BD23" s="7">
        <f t="shared" si="8"/>
        <v>0</v>
      </c>
      <c r="BE23" s="7">
        <f t="shared" si="8"/>
        <v>0</v>
      </c>
      <c r="BF23" s="7">
        <f t="shared" si="8"/>
        <v>0</v>
      </c>
      <c r="BG23" s="7">
        <f t="shared" si="8"/>
        <v>0</v>
      </c>
      <c r="BH23" s="7">
        <f t="shared" si="8"/>
        <v>0</v>
      </c>
      <c r="BI23" s="420">
        <f t="shared" si="5"/>
        <v>72</v>
      </c>
    </row>
    <row r="24" spans="1:61">
      <c r="A24" s="1" t="s">
        <v>659</v>
      </c>
      <c r="B24" s="4">
        <v>7007500</v>
      </c>
      <c r="C24" s="1" t="s">
        <v>234</v>
      </c>
      <c r="D24" s="1" t="s">
        <v>234</v>
      </c>
      <c r="E24" s="338">
        <v>35977</v>
      </c>
      <c r="F24" s="7">
        <v>95</v>
      </c>
      <c r="G24" s="1" t="s">
        <v>234</v>
      </c>
      <c r="H24" s="7">
        <v>53</v>
      </c>
      <c r="I24" s="7">
        <v>0</v>
      </c>
      <c r="J24" s="1" t="s">
        <v>758</v>
      </c>
      <c r="K24" s="1" t="s">
        <v>409</v>
      </c>
      <c r="L24" s="1" t="s">
        <v>745</v>
      </c>
      <c r="M24" s="333" t="s">
        <v>744</v>
      </c>
      <c r="N24" s="332">
        <v>40505</v>
      </c>
      <c r="O24" s="181">
        <v>11733.17</v>
      </c>
      <c r="P24" s="184">
        <v>10767.02</v>
      </c>
      <c r="Q24" s="229">
        <v>10847.11</v>
      </c>
      <c r="R24" s="192">
        <v>13804.05</v>
      </c>
      <c r="S24" s="195">
        <v>8471.89</v>
      </c>
      <c r="T24" s="238">
        <v>6823.21</v>
      </c>
      <c r="U24" s="212">
        <v>6951.2</v>
      </c>
      <c r="V24" s="212">
        <v>8264.27</v>
      </c>
      <c r="W24" s="217">
        <v>5888.9</v>
      </c>
      <c r="X24" s="220">
        <v>1815.35</v>
      </c>
      <c r="Y24" s="304">
        <v>3086.99</v>
      </c>
      <c r="Z24" s="172">
        <v>5040.43</v>
      </c>
      <c r="AA24" s="312">
        <f t="shared" si="6"/>
        <v>31047.14</v>
      </c>
      <c r="AB24" s="384">
        <f t="shared" si="10"/>
        <v>93493.590000000026</v>
      </c>
      <c r="AD24" s="9">
        <f t="shared" si="7"/>
        <v>0</v>
      </c>
      <c r="AE24" s="9">
        <f t="shared" si="7"/>
        <v>0</v>
      </c>
      <c r="AF24" s="9">
        <f t="shared" si="7"/>
        <v>0</v>
      </c>
      <c r="AG24" s="9">
        <f t="shared" si="7"/>
        <v>0</v>
      </c>
      <c r="AH24" s="9">
        <f t="shared" si="7"/>
        <v>0</v>
      </c>
      <c r="AI24" s="9">
        <f t="shared" si="7"/>
        <v>0</v>
      </c>
      <c r="AJ24" s="9">
        <f t="shared" si="7"/>
        <v>0</v>
      </c>
      <c r="AK24" s="9">
        <f t="shared" si="7"/>
        <v>0</v>
      </c>
      <c r="AL24" s="9">
        <f t="shared" si="7"/>
        <v>0</v>
      </c>
      <c r="AM24" s="9">
        <f t="shared" si="7"/>
        <v>0</v>
      </c>
      <c r="AN24" s="9">
        <f t="shared" si="7"/>
        <v>0</v>
      </c>
      <c r="AO24" s="9">
        <f t="shared" si="7"/>
        <v>31047.14</v>
      </c>
      <c r="AP24" s="9">
        <f t="shared" si="7"/>
        <v>0</v>
      </c>
      <c r="AQ24" s="9">
        <f t="shared" si="7"/>
        <v>0</v>
      </c>
      <c r="AR24" s="9">
        <f t="shared" si="7"/>
        <v>0</v>
      </c>
      <c r="AS24" s="9">
        <f t="shared" si="7"/>
        <v>0</v>
      </c>
      <c r="AT24" s="365">
        <f t="shared" si="3"/>
        <v>31047.14</v>
      </c>
      <c r="AU24" s="416"/>
      <c r="AV24" s="7">
        <f t="shared" si="8"/>
        <v>0</v>
      </c>
      <c r="AW24" s="7">
        <f t="shared" si="8"/>
        <v>0</v>
      </c>
      <c r="AX24" s="7">
        <f t="shared" si="8"/>
        <v>0</v>
      </c>
      <c r="AY24" s="7">
        <f t="shared" si="8"/>
        <v>0</v>
      </c>
      <c r="AZ24" s="7">
        <f t="shared" si="8"/>
        <v>0</v>
      </c>
      <c r="BA24" s="7">
        <f t="shared" si="8"/>
        <v>0</v>
      </c>
      <c r="BB24" s="7">
        <f t="shared" si="8"/>
        <v>0</v>
      </c>
      <c r="BC24" s="7">
        <f t="shared" si="8"/>
        <v>0</v>
      </c>
      <c r="BD24" s="7">
        <f t="shared" si="8"/>
        <v>0</v>
      </c>
      <c r="BE24" s="7">
        <f t="shared" si="8"/>
        <v>0</v>
      </c>
      <c r="BF24" s="7">
        <f t="shared" si="8"/>
        <v>53</v>
      </c>
      <c r="BG24" s="7">
        <f t="shared" si="8"/>
        <v>0</v>
      </c>
      <c r="BH24" s="7">
        <f t="shared" si="8"/>
        <v>0</v>
      </c>
      <c r="BI24" s="420">
        <f t="shared" si="5"/>
        <v>53</v>
      </c>
    </row>
    <row r="25" spans="1:61">
      <c r="A25" s="1" t="s">
        <v>530</v>
      </c>
      <c r="B25" s="4">
        <v>15051244</v>
      </c>
      <c r="C25" s="1" t="s">
        <v>503</v>
      </c>
      <c r="D25" s="1" t="s">
        <v>651</v>
      </c>
      <c r="E25" s="338">
        <v>36220</v>
      </c>
      <c r="F25" s="7">
        <v>97</v>
      </c>
      <c r="G25" s="1" t="s">
        <v>821</v>
      </c>
      <c r="H25" s="7"/>
      <c r="I25" s="7">
        <v>1</v>
      </c>
      <c r="J25" s="1" t="s">
        <v>765</v>
      </c>
      <c r="K25" s="1" t="s">
        <v>397</v>
      </c>
      <c r="L25" s="1" t="s">
        <v>745</v>
      </c>
      <c r="M25" s="333" t="s">
        <v>744</v>
      </c>
      <c r="N25" s="332">
        <v>40509</v>
      </c>
      <c r="O25" s="181">
        <v>22141.74</v>
      </c>
      <c r="P25" s="184">
        <v>20518.07</v>
      </c>
      <c r="Q25" s="229">
        <v>21293.95</v>
      </c>
      <c r="R25" s="192">
        <v>11208.03</v>
      </c>
      <c r="S25" s="238">
        <v>6022.26</v>
      </c>
      <c r="T25" s="238">
        <v>13114.37</v>
      </c>
      <c r="U25" s="136"/>
      <c r="V25" s="136"/>
      <c r="W25" s="136"/>
      <c r="X25" s="136"/>
      <c r="Y25" s="136"/>
      <c r="Z25" s="136"/>
      <c r="AA25" s="312">
        <f t="shared" si="6"/>
        <v>0</v>
      </c>
      <c r="AB25" s="395">
        <f t="shared" si="10"/>
        <v>94298.419999999984</v>
      </c>
      <c r="AD25" s="9">
        <f t="shared" si="7"/>
        <v>0</v>
      </c>
      <c r="AE25" s="9">
        <f t="shared" si="7"/>
        <v>0</v>
      </c>
      <c r="AF25" s="9">
        <f t="shared" si="7"/>
        <v>0</v>
      </c>
      <c r="AG25" s="9">
        <f t="shared" si="7"/>
        <v>0</v>
      </c>
      <c r="AH25" s="9">
        <f t="shared" si="7"/>
        <v>0</v>
      </c>
      <c r="AI25" s="9">
        <f t="shared" si="7"/>
        <v>0</v>
      </c>
      <c r="AJ25" s="9">
        <f t="shared" si="7"/>
        <v>0</v>
      </c>
      <c r="AK25" s="9">
        <f t="shared" si="7"/>
        <v>0</v>
      </c>
      <c r="AL25" s="9">
        <f t="shared" si="7"/>
        <v>0</v>
      </c>
      <c r="AM25" s="9">
        <f t="shared" si="7"/>
        <v>0</v>
      </c>
      <c r="AN25" s="9">
        <f t="shared" si="7"/>
        <v>0</v>
      </c>
      <c r="AO25" s="9">
        <f t="shared" si="7"/>
        <v>0</v>
      </c>
      <c r="AP25" s="9">
        <f t="shared" si="7"/>
        <v>0</v>
      </c>
      <c r="AQ25" s="9">
        <f t="shared" si="7"/>
        <v>0</v>
      </c>
      <c r="AR25" s="9">
        <f t="shared" si="7"/>
        <v>0</v>
      </c>
      <c r="AS25" s="9">
        <f t="shared" si="7"/>
        <v>0</v>
      </c>
      <c r="AT25" s="365">
        <f t="shared" si="3"/>
        <v>0</v>
      </c>
      <c r="AU25" s="416"/>
      <c r="AV25" s="7">
        <f t="shared" si="8"/>
        <v>0</v>
      </c>
      <c r="AW25" s="7">
        <f t="shared" si="8"/>
        <v>0</v>
      </c>
      <c r="AX25" s="7">
        <f t="shared" si="8"/>
        <v>0</v>
      </c>
      <c r="AY25" s="7">
        <f t="shared" si="8"/>
        <v>0</v>
      </c>
      <c r="AZ25" s="7">
        <f t="shared" si="8"/>
        <v>0</v>
      </c>
      <c r="BA25" s="7">
        <f t="shared" si="8"/>
        <v>0</v>
      </c>
      <c r="BB25" s="7">
        <f t="shared" si="8"/>
        <v>0</v>
      </c>
      <c r="BC25" s="7">
        <f t="shared" si="8"/>
        <v>0</v>
      </c>
      <c r="BD25" s="7">
        <f t="shared" si="8"/>
        <v>0</v>
      </c>
      <c r="BE25" s="7">
        <f t="shared" si="8"/>
        <v>0</v>
      </c>
      <c r="BF25" s="7">
        <f t="shared" si="8"/>
        <v>0</v>
      </c>
      <c r="BG25" s="7">
        <f t="shared" si="8"/>
        <v>0</v>
      </c>
      <c r="BH25" s="7">
        <f t="shared" si="8"/>
        <v>0</v>
      </c>
      <c r="BI25" s="420">
        <f t="shared" si="5"/>
        <v>0</v>
      </c>
    </row>
    <row r="26" spans="1:61">
      <c r="A26" s="1" t="s">
        <v>535</v>
      </c>
      <c r="B26" s="4">
        <v>15059166</v>
      </c>
      <c r="C26" s="1" t="s">
        <v>851</v>
      </c>
      <c r="D26" s="1" t="s">
        <v>852</v>
      </c>
      <c r="E26" s="7"/>
      <c r="H26" s="7">
        <v>146</v>
      </c>
      <c r="I26" s="7"/>
      <c r="M26" s="333"/>
      <c r="N26" s="332"/>
      <c r="O26" s="181">
        <v>32365.599999999999</v>
      </c>
      <c r="P26" s="184">
        <v>32232.66</v>
      </c>
      <c r="Q26" s="229">
        <v>33170.239999999998</v>
      </c>
      <c r="R26" s="192">
        <v>40640.97</v>
      </c>
      <c r="S26" s="195">
        <v>25805.21</v>
      </c>
      <c r="T26" s="238">
        <v>14861.29</v>
      </c>
      <c r="U26" s="347">
        <v>16090.94</v>
      </c>
      <c r="V26" s="212">
        <v>22029.35</v>
      </c>
      <c r="W26" s="433">
        <v>12443.83</v>
      </c>
      <c r="X26" s="433">
        <v>3576.37</v>
      </c>
      <c r="Y26" s="304">
        <v>3878.18</v>
      </c>
      <c r="Z26" s="172">
        <v>5140.22</v>
      </c>
      <c r="AA26" s="312">
        <f t="shared" si="6"/>
        <v>63158.890000000007</v>
      </c>
      <c r="AB26" s="384">
        <f t="shared" si="10"/>
        <v>242234.86</v>
      </c>
      <c r="AD26" s="9">
        <f t="shared" si="7"/>
        <v>0</v>
      </c>
      <c r="AE26" s="9">
        <f t="shared" si="7"/>
        <v>0</v>
      </c>
      <c r="AF26" s="9">
        <f t="shared" si="7"/>
        <v>0</v>
      </c>
      <c r="AG26" s="9">
        <f t="shared" si="7"/>
        <v>0</v>
      </c>
      <c r="AH26" s="9">
        <f t="shared" si="7"/>
        <v>0</v>
      </c>
      <c r="AI26" s="9">
        <f t="shared" si="7"/>
        <v>0</v>
      </c>
      <c r="AJ26" s="9">
        <f t="shared" si="7"/>
        <v>0</v>
      </c>
      <c r="AK26" s="9">
        <f t="shared" si="7"/>
        <v>63158.890000000007</v>
      </c>
      <c r="AL26" s="9">
        <f t="shared" si="7"/>
        <v>0</v>
      </c>
      <c r="AM26" s="9">
        <f t="shared" si="7"/>
        <v>0</v>
      </c>
      <c r="AN26" s="9">
        <f t="shared" si="7"/>
        <v>0</v>
      </c>
      <c r="AO26" s="9">
        <f t="shared" si="7"/>
        <v>0</v>
      </c>
      <c r="AP26" s="9">
        <f t="shared" si="7"/>
        <v>0</v>
      </c>
      <c r="AQ26" s="9">
        <f t="shared" si="7"/>
        <v>0</v>
      </c>
      <c r="AR26" s="9">
        <f t="shared" si="7"/>
        <v>0</v>
      </c>
      <c r="AS26" s="9">
        <f t="shared" si="7"/>
        <v>0</v>
      </c>
      <c r="AT26" s="365">
        <f t="shared" si="3"/>
        <v>63158.890000000007</v>
      </c>
      <c r="AU26" s="416"/>
      <c r="AV26" s="7">
        <f t="shared" si="8"/>
        <v>0</v>
      </c>
      <c r="AW26" s="7">
        <f t="shared" si="8"/>
        <v>0</v>
      </c>
      <c r="AX26" s="7">
        <f t="shared" si="8"/>
        <v>0</v>
      </c>
      <c r="AY26" s="7">
        <f t="shared" si="8"/>
        <v>0</v>
      </c>
      <c r="AZ26" s="7">
        <f t="shared" si="8"/>
        <v>0</v>
      </c>
      <c r="BA26" s="7">
        <f t="shared" si="8"/>
        <v>0</v>
      </c>
      <c r="BB26" s="7">
        <f t="shared" si="8"/>
        <v>146</v>
      </c>
      <c r="BC26" s="7">
        <f t="shared" si="8"/>
        <v>0</v>
      </c>
      <c r="BD26" s="7">
        <f t="shared" si="8"/>
        <v>0</v>
      </c>
      <c r="BE26" s="7">
        <f t="shared" si="8"/>
        <v>0</v>
      </c>
      <c r="BF26" s="7">
        <f t="shared" si="8"/>
        <v>0</v>
      </c>
      <c r="BG26" s="7">
        <f t="shared" si="8"/>
        <v>0</v>
      </c>
      <c r="BH26" s="7">
        <f t="shared" si="8"/>
        <v>0</v>
      </c>
      <c r="BI26" s="420">
        <f t="shared" si="5"/>
        <v>146</v>
      </c>
    </row>
    <row r="27" spans="1:61">
      <c r="A27" s="1" t="s">
        <v>530</v>
      </c>
      <c r="B27" s="4">
        <v>15066432</v>
      </c>
      <c r="D27" s="1" t="s">
        <v>922</v>
      </c>
      <c r="E27" s="7"/>
      <c r="H27" s="7">
        <v>90</v>
      </c>
      <c r="I27" s="7"/>
      <c r="M27" s="333"/>
      <c r="N27" s="332"/>
      <c r="O27" s="136"/>
      <c r="P27" s="136"/>
      <c r="Q27" s="136"/>
      <c r="R27" s="136"/>
      <c r="S27" s="136"/>
      <c r="T27" s="136"/>
      <c r="U27" s="347">
        <v>12987.7</v>
      </c>
      <c r="V27" s="212">
        <v>14123.62</v>
      </c>
      <c r="W27" s="217">
        <v>7998.4</v>
      </c>
      <c r="X27" s="220">
        <v>2141.16</v>
      </c>
      <c r="Y27" s="304">
        <v>3518.44</v>
      </c>
      <c r="Z27" s="172">
        <v>5185.6000000000004</v>
      </c>
      <c r="AA27" s="312">
        <f t="shared" si="6"/>
        <v>45954.920000000006</v>
      </c>
      <c r="AB27" s="395">
        <f t="shared" si="10"/>
        <v>45954.920000000006</v>
      </c>
      <c r="AD27" s="9">
        <f t="shared" si="7"/>
        <v>0</v>
      </c>
      <c r="AE27" s="9">
        <f t="shared" si="7"/>
        <v>0</v>
      </c>
      <c r="AF27" s="9">
        <f t="shared" si="7"/>
        <v>0</v>
      </c>
      <c r="AG27" s="9">
        <f t="shared" si="7"/>
        <v>0</v>
      </c>
      <c r="AH27" s="9">
        <f t="shared" si="7"/>
        <v>0</v>
      </c>
      <c r="AI27" s="9">
        <f t="shared" si="7"/>
        <v>45954.920000000006</v>
      </c>
      <c r="AJ27" s="9">
        <f t="shared" si="7"/>
        <v>0</v>
      </c>
      <c r="AK27" s="9">
        <f t="shared" si="7"/>
        <v>0</v>
      </c>
      <c r="AL27" s="9">
        <f t="shared" si="7"/>
        <v>0</v>
      </c>
      <c r="AM27" s="9">
        <f t="shared" si="7"/>
        <v>0</v>
      </c>
      <c r="AN27" s="9">
        <f t="shared" si="7"/>
        <v>0</v>
      </c>
      <c r="AO27" s="9">
        <f t="shared" si="7"/>
        <v>0</v>
      </c>
      <c r="AP27" s="9">
        <f t="shared" si="7"/>
        <v>0</v>
      </c>
      <c r="AQ27" s="9">
        <f t="shared" si="7"/>
        <v>0</v>
      </c>
      <c r="AR27" s="9">
        <f t="shared" si="7"/>
        <v>0</v>
      </c>
      <c r="AS27" s="9">
        <f t="shared" si="7"/>
        <v>0</v>
      </c>
      <c r="AT27" s="365">
        <f t="shared" si="3"/>
        <v>45954.920000000006</v>
      </c>
      <c r="AU27" s="416"/>
      <c r="AV27" s="7">
        <f t="shared" si="8"/>
        <v>0</v>
      </c>
      <c r="AW27" s="7">
        <f t="shared" si="8"/>
        <v>0</v>
      </c>
      <c r="AX27" s="7">
        <f t="shared" si="8"/>
        <v>0</v>
      </c>
      <c r="AY27" s="7">
        <f t="shared" si="8"/>
        <v>0</v>
      </c>
      <c r="AZ27" s="7">
        <f t="shared" si="8"/>
        <v>90</v>
      </c>
      <c r="BA27" s="7">
        <f t="shared" si="8"/>
        <v>0</v>
      </c>
      <c r="BB27" s="7">
        <f t="shared" si="8"/>
        <v>0</v>
      </c>
      <c r="BC27" s="7">
        <f t="shared" si="8"/>
        <v>0</v>
      </c>
      <c r="BD27" s="7">
        <f t="shared" si="8"/>
        <v>0</v>
      </c>
      <c r="BE27" s="7">
        <f t="shared" si="8"/>
        <v>0</v>
      </c>
      <c r="BF27" s="7">
        <f t="shared" si="8"/>
        <v>0</v>
      </c>
      <c r="BG27" s="7">
        <f t="shared" si="8"/>
        <v>0</v>
      </c>
      <c r="BH27" s="7">
        <f t="shared" si="8"/>
        <v>0</v>
      </c>
      <c r="BI27" s="420">
        <f t="shared" si="5"/>
        <v>90</v>
      </c>
    </row>
    <row r="28" spans="1:61">
      <c r="A28" s="1" t="s">
        <v>537</v>
      </c>
      <c r="B28" s="4">
        <v>15036832</v>
      </c>
      <c r="C28" s="1" t="s">
        <v>504</v>
      </c>
      <c r="D28" s="1" t="s">
        <v>504</v>
      </c>
      <c r="E28" s="338">
        <v>41030</v>
      </c>
      <c r="F28" s="7">
        <v>4208</v>
      </c>
      <c r="G28" s="1" t="s">
        <v>820</v>
      </c>
      <c r="H28" s="7">
        <v>103</v>
      </c>
      <c r="I28" s="7">
        <v>1</v>
      </c>
      <c r="J28" s="1" t="s">
        <v>765</v>
      </c>
      <c r="K28" s="1" t="s">
        <v>819</v>
      </c>
      <c r="L28" s="1" t="s">
        <v>745</v>
      </c>
      <c r="M28" s="333" t="s">
        <v>744</v>
      </c>
      <c r="N28" s="332">
        <v>40513</v>
      </c>
      <c r="O28" s="181">
        <v>28874.560000000001</v>
      </c>
      <c r="P28" s="184">
        <v>25704.17</v>
      </c>
      <c r="Q28" s="229">
        <v>27201.77</v>
      </c>
      <c r="R28" s="192">
        <v>36978.33</v>
      </c>
      <c r="S28" s="195">
        <v>23095.41</v>
      </c>
      <c r="T28" s="238">
        <v>14861.29</v>
      </c>
      <c r="U28" s="347">
        <v>14423.31</v>
      </c>
      <c r="V28" s="212">
        <v>20602.03</v>
      </c>
      <c r="W28" s="217">
        <v>8224.59</v>
      </c>
      <c r="X28" s="220">
        <v>103.82</v>
      </c>
      <c r="Y28" s="304">
        <v>424.01</v>
      </c>
      <c r="Z28" s="172">
        <v>2552.2399999999998</v>
      </c>
      <c r="AA28" s="312">
        <f t="shared" si="6"/>
        <v>46329.999999999993</v>
      </c>
      <c r="AB28" s="384">
        <f t="shared" si="10"/>
        <v>203045.53</v>
      </c>
      <c r="AD28" s="9">
        <f t="shared" si="7"/>
        <v>0</v>
      </c>
      <c r="AE28" s="9">
        <f t="shared" si="7"/>
        <v>46329.999999999993</v>
      </c>
      <c r="AF28" s="9">
        <f t="shared" si="7"/>
        <v>0</v>
      </c>
      <c r="AG28" s="9">
        <f t="shared" si="7"/>
        <v>0</v>
      </c>
      <c r="AH28" s="9">
        <f t="shared" si="7"/>
        <v>0</v>
      </c>
      <c r="AI28" s="9">
        <f t="shared" si="7"/>
        <v>0</v>
      </c>
      <c r="AJ28" s="9">
        <f t="shared" si="7"/>
        <v>0</v>
      </c>
      <c r="AK28" s="9">
        <f t="shared" si="7"/>
        <v>0</v>
      </c>
      <c r="AL28" s="9">
        <f t="shared" si="7"/>
        <v>0</v>
      </c>
      <c r="AM28" s="9">
        <f t="shared" si="7"/>
        <v>0</v>
      </c>
      <c r="AN28" s="9">
        <f t="shared" si="7"/>
        <v>0</v>
      </c>
      <c r="AO28" s="9">
        <f t="shared" si="7"/>
        <v>0</v>
      </c>
      <c r="AP28" s="9">
        <f t="shared" si="7"/>
        <v>0</v>
      </c>
      <c r="AQ28" s="9">
        <f t="shared" si="7"/>
        <v>0</v>
      </c>
      <c r="AR28" s="9">
        <f t="shared" si="7"/>
        <v>0</v>
      </c>
      <c r="AS28" s="9">
        <f t="shared" si="7"/>
        <v>0</v>
      </c>
      <c r="AT28" s="365">
        <f t="shared" si="3"/>
        <v>46329.999999999993</v>
      </c>
      <c r="AU28" s="416"/>
      <c r="AV28" s="7">
        <f t="shared" si="8"/>
        <v>0</v>
      </c>
      <c r="AW28" s="7">
        <f t="shared" si="8"/>
        <v>103</v>
      </c>
      <c r="AX28" s="7">
        <f t="shared" si="8"/>
        <v>0</v>
      </c>
      <c r="AY28" s="7">
        <f t="shared" si="8"/>
        <v>0</v>
      </c>
      <c r="AZ28" s="7">
        <f t="shared" si="8"/>
        <v>0</v>
      </c>
      <c r="BA28" s="7">
        <f t="shared" si="8"/>
        <v>0</v>
      </c>
      <c r="BB28" s="7">
        <f t="shared" si="8"/>
        <v>0</v>
      </c>
      <c r="BC28" s="7">
        <f t="shared" si="8"/>
        <v>0</v>
      </c>
      <c r="BD28" s="7">
        <f t="shared" si="8"/>
        <v>0</v>
      </c>
      <c r="BE28" s="7">
        <f t="shared" si="8"/>
        <v>0</v>
      </c>
      <c r="BF28" s="7">
        <f t="shared" si="8"/>
        <v>0</v>
      </c>
      <c r="BG28" s="7">
        <f t="shared" si="8"/>
        <v>0</v>
      </c>
      <c r="BH28" s="7">
        <f t="shared" si="8"/>
        <v>0</v>
      </c>
      <c r="BI28" s="420">
        <f t="shared" si="5"/>
        <v>103</v>
      </c>
    </row>
    <row r="29" spans="1:61">
      <c r="A29" s="1" t="s">
        <v>970</v>
      </c>
      <c r="B29" s="4">
        <v>15062248</v>
      </c>
      <c r="D29" s="1" t="s">
        <v>877</v>
      </c>
      <c r="O29" s="136"/>
      <c r="P29" s="184">
        <v>271.55</v>
      </c>
      <c r="Q29" s="229">
        <v>246.34</v>
      </c>
      <c r="R29" s="192">
        <v>95.62</v>
      </c>
      <c r="S29" s="136"/>
      <c r="T29" s="238">
        <v>106.85</v>
      </c>
      <c r="U29" s="136"/>
      <c r="V29" s="136"/>
      <c r="W29" s="136"/>
      <c r="X29" s="136"/>
      <c r="Y29" s="136"/>
      <c r="Z29" s="136"/>
      <c r="AA29" s="312">
        <f t="shared" si="6"/>
        <v>0</v>
      </c>
      <c r="AB29" s="392">
        <f>SUM(P29:Z29)</f>
        <v>720.36</v>
      </c>
      <c r="AD29" s="9">
        <f t="shared" si="7"/>
        <v>0</v>
      </c>
      <c r="AE29" s="9">
        <f t="shared" si="7"/>
        <v>0</v>
      </c>
      <c r="AF29" s="9">
        <f t="shared" si="7"/>
        <v>0</v>
      </c>
      <c r="AG29" s="9">
        <f t="shared" si="7"/>
        <v>0</v>
      </c>
      <c r="AH29" s="9">
        <f t="shared" si="7"/>
        <v>0</v>
      </c>
      <c r="AI29" s="9">
        <f t="shared" si="7"/>
        <v>0</v>
      </c>
      <c r="AJ29" s="9">
        <f t="shared" si="7"/>
        <v>0</v>
      </c>
      <c r="AK29" s="9">
        <f t="shared" si="7"/>
        <v>0</v>
      </c>
      <c r="AL29" s="9">
        <f t="shared" si="7"/>
        <v>0</v>
      </c>
      <c r="AM29" s="9">
        <f t="shared" si="7"/>
        <v>0</v>
      </c>
      <c r="AN29" s="9">
        <f t="shared" si="7"/>
        <v>0</v>
      </c>
      <c r="AO29" s="9">
        <f t="shared" si="7"/>
        <v>0</v>
      </c>
      <c r="AP29" s="9">
        <f t="shared" si="7"/>
        <v>0</v>
      </c>
      <c r="AQ29" s="9">
        <f t="shared" si="7"/>
        <v>0</v>
      </c>
      <c r="AR29" s="9">
        <f t="shared" si="7"/>
        <v>0</v>
      </c>
      <c r="AS29" s="9">
        <f t="shared" si="7"/>
        <v>0</v>
      </c>
      <c r="AT29" s="365">
        <f t="shared" si="3"/>
        <v>0</v>
      </c>
      <c r="AU29" s="416"/>
      <c r="AV29" s="7">
        <f t="shared" si="8"/>
        <v>0</v>
      </c>
      <c r="AW29" s="7">
        <f t="shared" si="8"/>
        <v>0</v>
      </c>
      <c r="AX29" s="7">
        <f t="shared" si="8"/>
        <v>0</v>
      </c>
      <c r="AY29" s="7">
        <f t="shared" si="8"/>
        <v>0</v>
      </c>
      <c r="AZ29" s="7">
        <f t="shared" si="8"/>
        <v>0</v>
      </c>
      <c r="BA29" s="7">
        <f t="shared" si="8"/>
        <v>0</v>
      </c>
      <c r="BB29" s="7">
        <f t="shared" si="8"/>
        <v>0</v>
      </c>
      <c r="BC29" s="7">
        <f t="shared" si="8"/>
        <v>0</v>
      </c>
      <c r="BD29" s="7">
        <f t="shared" si="8"/>
        <v>0</v>
      </c>
      <c r="BE29" s="7">
        <f t="shared" si="8"/>
        <v>0</v>
      </c>
      <c r="BF29" s="7">
        <f t="shared" si="8"/>
        <v>0</v>
      </c>
      <c r="BG29" s="7">
        <f t="shared" si="8"/>
        <v>0</v>
      </c>
      <c r="BH29" s="7">
        <f t="shared" si="8"/>
        <v>0</v>
      </c>
      <c r="BI29" s="420">
        <f t="shared" si="5"/>
        <v>0</v>
      </c>
    </row>
    <row r="30" spans="1:61">
      <c r="A30" s="1" t="s">
        <v>660</v>
      </c>
      <c r="B30" s="4">
        <v>7002000</v>
      </c>
      <c r="C30" s="1" t="s">
        <v>629</v>
      </c>
      <c r="D30" s="399" t="s">
        <v>505</v>
      </c>
      <c r="K30" s="1" t="s">
        <v>456</v>
      </c>
      <c r="L30" s="1" t="s">
        <v>745</v>
      </c>
      <c r="M30" s="333" t="s">
        <v>744</v>
      </c>
      <c r="N30" s="1">
        <v>40505</v>
      </c>
      <c r="O30" s="181">
        <v>13063.97</v>
      </c>
      <c r="P30" s="184">
        <v>5969.09</v>
      </c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12">
        <f t="shared" si="6"/>
        <v>0</v>
      </c>
      <c r="AB30" s="384">
        <f t="shared" ref="AB30:AB36" si="11">SUM(O30:Z30)</f>
        <v>19033.059999999998</v>
      </c>
      <c r="AD30" s="9">
        <f t="shared" si="7"/>
        <v>0</v>
      </c>
      <c r="AE30" s="9">
        <f t="shared" si="7"/>
        <v>0</v>
      </c>
      <c r="AF30" s="9">
        <f t="shared" si="7"/>
        <v>0</v>
      </c>
      <c r="AG30" s="9">
        <f t="shared" si="7"/>
        <v>0</v>
      </c>
      <c r="AH30" s="9">
        <f t="shared" si="7"/>
        <v>0</v>
      </c>
      <c r="AI30" s="9">
        <f t="shared" si="7"/>
        <v>0</v>
      </c>
      <c r="AJ30" s="9">
        <f t="shared" si="7"/>
        <v>0</v>
      </c>
      <c r="AK30" s="9">
        <f t="shared" si="7"/>
        <v>0</v>
      </c>
      <c r="AL30" s="9">
        <f t="shared" si="7"/>
        <v>0</v>
      </c>
      <c r="AM30" s="9">
        <f t="shared" si="7"/>
        <v>0</v>
      </c>
      <c r="AN30" s="9">
        <f t="shared" si="7"/>
        <v>0</v>
      </c>
      <c r="AO30" s="9">
        <f t="shared" si="7"/>
        <v>0</v>
      </c>
      <c r="AP30" s="9">
        <f t="shared" si="7"/>
        <v>0</v>
      </c>
      <c r="AQ30" s="9">
        <f t="shared" si="7"/>
        <v>0</v>
      </c>
      <c r="AR30" s="9">
        <f t="shared" si="7"/>
        <v>0</v>
      </c>
      <c r="AS30" s="9">
        <f t="shared" si="7"/>
        <v>0</v>
      </c>
      <c r="AT30" s="365">
        <f t="shared" si="3"/>
        <v>0</v>
      </c>
      <c r="AU30" s="416"/>
      <c r="AV30" s="7">
        <f t="shared" si="8"/>
        <v>0</v>
      </c>
      <c r="AW30" s="7">
        <f t="shared" si="8"/>
        <v>0</v>
      </c>
      <c r="AX30" s="7">
        <f t="shared" si="8"/>
        <v>0</v>
      </c>
      <c r="AY30" s="7">
        <f t="shared" si="8"/>
        <v>0</v>
      </c>
      <c r="AZ30" s="7">
        <f t="shared" si="8"/>
        <v>0</v>
      </c>
      <c r="BA30" s="7">
        <f t="shared" si="8"/>
        <v>0</v>
      </c>
      <c r="BB30" s="7">
        <f t="shared" si="8"/>
        <v>0</v>
      </c>
      <c r="BC30" s="7">
        <f t="shared" si="8"/>
        <v>0</v>
      </c>
      <c r="BD30" s="7">
        <f t="shared" si="8"/>
        <v>0</v>
      </c>
      <c r="BE30" s="7">
        <f t="shared" si="8"/>
        <v>0</v>
      </c>
      <c r="BF30" s="7">
        <f t="shared" si="8"/>
        <v>0</v>
      </c>
      <c r="BG30" s="7">
        <f t="shared" si="8"/>
        <v>0</v>
      </c>
      <c r="BH30" s="7">
        <f t="shared" si="8"/>
        <v>0</v>
      </c>
      <c r="BI30" s="420">
        <f t="shared" si="5"/>
        <v>0</v>
      </c>
    </row>
    <row r="31" spans="1:61">
      <c r="A31" s="1" t="s">
        <v>533</v>
      </c>
      <c r="B31" s="4">
        <v>15007853</v>
      </c>
      <c r="C31" s="1" t="s">
        <v>632</v>
      </c>
      <c r="D31" s="1" t="s">
        <v>238</v>
      </c>
      <c r="E31" s="338">
        <v>32568</v>
      </c>
      <c r="F31" s="7">
        <v>98</v>
      </c>
      <c r="G31" s="1" t="s">
        <v>238</v>
      </c>
      <c r="H31" s="7">
        <v>55</v>
      </c>
      <c r="I31" s="7">
        <v>0</v>
      </c>
      <c r="J31" s="1" t="s">
        <v>776</v>
      </c>
      <c r="K31" s="1" t="s">
        <v>817</v>
      </c>
      <c r="L31" s="1" t="s">
        <v>745</v>
      </c>
      <c r="M31" s="333" t="s">
        <v>744</v>
      </c>
      <c r="N31" s="332">
        <v>40509</v>
      </c>
      <c r="O31" s="181">
        <v>5405.44</v>
      </c>
      <c r="P31" s="184">
        <v>5265.57</v>
      </c>
      <c r="Q31" s="192">
        <v>4214.6000000000004</v>
      </c>
      <c r="R31" s="192">
        <v>5669.32</v>
      </c>
      <c r="S31" s="195">
        <v>2961.76</v>
      </c>
      <c r="T31" s="238">
        <v>2652.67</v>
      </c>
      <c r="U31" s="347">
        <v>2096.96</v>
      </c>
      <c r="V31" s="212">
        <v>2665.55</v>
      </c>
      <c r="W31" s="220">
        <v>2543.87</v>
      </c>
      <c r="X31" s="220">
        <v>1478.08</v>
      </c>
      <c r="Y31" s="304">
        <v>2284.9</v>
      </c>
      <c r="Z31" s="172">
        <v>3086.62</v>
      </c>
      <c r="AA31" s="312">
        <f t="shared" si="6"/>
        <v>14155.98</v>
      </c>
      <c r="AB31" s="398">
        <f t="shared" si="11"/>
        <v>40325.340000000004</v>
      </c>
      <c r="AD31" s="9">
        <f t="shared" si="7"/>
        <v>0</v>
      </c>
      <c r="AE31" s="9">
        <f t="shared" si="7"/>
        <v>0</v>
      </c>
      <c r="AF31" s="9">
        <f t="shared" si="7"/>
        <v>0</v>
      </c>
      <c r="AG31" s="9">
        <f t="shared" si="7"/>
        <v>0</v>
      </c>
      <c r="AH31" s="9">
        <f t="shared" si="7"/>
        <v>0</v>
      </c>
      <c r="AI31" s="9">
        <f t="shared" si="7"/>
        <v>0</v>
      </c>
      <c r="AJ31" s="9">
        <f t="shared" si="7"/>
        <v>0</v>
      </c>
      <c r="AK31" s="9">
        <f t="shared" si="7"/>
        <v>0</v>
      </c>
      <c r="AL31" s="9">
        <f t="shared" si="7"/>
        <v>0</v>
      </c>
      <c r="AM31" s="9">
        <f t="shared" si="7"/>
        <v>14155.98</v>
      </c>
      <c r="AN31" s="9">
        <f t="shared" si="7"/>
        <v>0</v>
      </c>
      <c r="AO31" s="9">
        <f t="shared" si="7"/>
        <v>0</v>
      </c>
      <c r="AP31" s="9">
        <f t="shared" si="7"/>
        <v>0</v>
      </c>
      <c r="AQ31" s="9">
        <f t="shared" si="7"/>
        <v>0</v>
      </c>
      <c r="AR31" s="9">
        <f t="shared" si="7"/>
        <v>0</v>
      </c>
      <c r="AS31" s="9">
        <f t="shared" si="7"/>
        <v>0</v>
      </c>
      <c r="AT31" s="365">
        <f t="shared" si="3"/>
        <v>14155.98</v>
      </c>
      <c r="AU31" s="416"/>
      <c r="AV31" s="7">
        <f t="shared" si="8"/>
        <v>0</v>
      </c>
      <c r="AW31" s="7">
        <f t="shared" si="8"/>
        <v>0</v>
      </c>
      <c r="AX31" s="7">
        <f t="shared" si="8"/>
        <v>0</v>
      </c>
      <c r="AY31" s="7">
        <f t="shared" si="8"/>
        <v>0</v>
      </c>
      <c r="AZ31" s="7">
        <f t="shared" si="8"/>
        <v>0</v>
      </c>
      <c r="BA31" s="7">
        <f t="shared" si="8"/>
        <v>0</v>
      </c>
      <c r="BB31" s="7">
        <f t="shared" si="8"/>
        <v>0</v>
      </c>
      <c r="BC31" s="7">
        <f t="shared" si="8"/>
        <v>0</v>
      </c>
      <c r="BD31" s="7">
        <f t="shared" si="8"/>
        <v>55</v>
      </c>
      <c r="BE31" s="7">
        <f t="shared" si="8"/>
        <v>0</v>
      </c>
      <c r="BF31" s="7">
        <f t="shared" si="8"/>
        <v>0</v>
      </c>
      <c r="BG31" s="7">
        <f t="shared" si="8"/>
        <v>0</v>
      </c>
      <c r="BH31" s="7">
        <f t="shared" si="8"/>
        <v>0</v>
      </c>
      <c r="BI31" s="420">
        <f t="shared" si="5"/>
        <v>55</v>
      </c>
    </row>
    <row r="32" spans="1:61">
      <c r="A32" s="1" t="s">
        <v>705</v>
      </c>
      <c r="B32" s="4">
        <v>7000700</v>
      </c>
      <c r="C32" s="1" t="s">
        <v>239</v>
      </c>
      <c r="D32" s="1" t="s">
        <v>239</v>
      </c>
      <c r="E32" s="7"/>
      <c r="F32" s="7">
        <v>99</v>
      </c>
      <c r="G32" s="1" t="s">
        <v>818</v>
      </c>
      <c r="H32" s="7">
        <v>44</v>
      </c>
      <c r="I32" s="7">
        <v>0</v>
      </c>
      <c r="K32" s="1" t="s">
        <v>412</v>
      </c>
      <c r="L32" s="1" t="s">
        <v>745</v>
      </c>
      <c r="M32" s="333" t="s">
        <v>744</v>
      </c>
      <c r="N32" s="332">
        <v>40504</v>
      </c>
      <c r="O32" s="181">
        <v>992.8</v>
      </c>
      <c r="P32" s="184">
        <v>895.05</v>
      </c>
      <c r="Q32" s="229">
        <v>1019.13</v>
      </c>
      <c r="R32" s="192">
        <v>925.65</v>
      </c>
      <c r="S32" s="195">
        <v>869.55</v>
      </c>
      <c r="T32" s="238">
        <v>840.25</v>
      </c>
      <c r="U32" s="347">
        <v>812</v>
      </c>
      <c r="V32" s="212">
        <v>770</v>
      </c>
      <c r="W32" s="217">
        <v>688.5</v>
      </c>
      <c r="X32" s="220">
        <v>902.27</v>
      </c>
      <c r="Y32" s="304">
        <v>1209.1300000000001</v>
      </c>
      <c r="Z32" s="172">
        <v>1119.8800000000001</v>
      </c>
      <c r="AA32" s="312">
        <f t="shared" si="6"/>
        <v>5501.78</v>
      </c>
      <c r="AB32" s="394">
        <f t="shared" si="11"/>
        <v>11044.210000000003</v>
      </c>
      <c r="AD32" s="9">
        <f t="shared" si="7"/>
        <v>0</v>
      </c>
      <c r="AE32" s="9">
        <f t="shared" si="7"/>
        <v>0</v>
      </c>
      <c r="AF32" s="9">
        <f t="shared" si="7"/>
        <v>0</v>
      </c>
      <c r="AG32" s="9">
        <f t="shared" si="7"/>
        <v>0</v>
      </c>
      <c r="AH32" s="9">
        <f t="shared" si="7"/>
        <v>0</v>
      </c>
      <c r="AI32" s="9">
        <f t="shared" si="7"/>
        <v>0</v>
      </c>
      <c r="AJ32" s="9">
        <f t="shared" si="7"/>
        <v>0</v>
      </c>
      <c r="AK32" s="9">
        <f t="shared" si="7"/>
        <v>0</v>
      </c>
      <c r="AL32" s="9">
        <f t="shared" si="7"/>
        <v>0</v>
      </c>
      <c r="AM32" s="9">
        <f t="shared" si="7"/>
        <v>0</v>
      </c>
      <c r="AN32" s="9">
        <f t="shared" si="7"/>
        <v>0</v>
      </c>
      <c r="AO32" s="9">
        <f t="shared" si="7"/>
        <v>0</v>
      </c>
      <c r="AP32" s="9">
        <f t="shared" si="7"/>
        <v>0</v>
      </c>
      <c r="AQ32" s="9">
        <f t="shared" si="7"/>
        <v>0</v>
      </c>
      <c r="AR32" s="9">
        <f t="shared" si="7"/>
        <v>0</v>
      </c>
      <c r="AS32" s="9">
        <f t="shared" si="7"/>
        <v>5501.78</v>
      </c>
      <c r="AT32" s="365">
        <f t="shared" si="3"/>
        <v>5501.78</v>
      </c>
      <c r="AU32" s="416"/>
      <c r="AV32" s="7">
        <f t="shared" si="8"/>
        <v>0</v>
      </c>
      <c r="AW32" s="7">
        <f t="shared" si="8"/>
        <v>0</v>
      </c>
      <c r="AX32" s="7">
        <f t="shared" si="8"/>
        <v>0</v>
      </c>
      <c r="AY32" s="7">
        <f t="shared" si="8"/>
        <v>0</v>
      </c>
      <c r="AZ32" s="7">
        <f t="shared" si="8"/>
        <v>0</v>
      </c>
      <c r="BA32" s="7">
        <f t="shared" si="8"/>
        <v>0</v>
      </c>
      <c r="BB32" s="7">
        <f t="shared" si="8"/>
        <v>0</v>
      </c>
      <c r="BC32" s="7">
        <f t="shared" si="8"/>
        <v>0</v>
      </c>
      <c r="BD32" s="7">
        <f t="shared" si="8"/>
        <v>0</v>
      </c>
      <c r="BE32" s="7">
        <f t="shared" si="8"/>
        <v>0</v>
      </c>
      <c r="BF32" s="7">
        <f t="shared" si="8"/>
        <v>0</v>
      </c>
      <c r="BG32" s="7">
        <f t="shared" si="8"/>
        <v>0</v>
      </c>
      <c r="BH32" s="7">
        <f t="shared" si="8"/>
        <v>44</v>
      </c>
      <c r="BI32" s="420">
        <f t="shared" ref="BI32:BI58" si="12">+SUM(AV32:BH32)</f>
        <v>44</v>
      </c>
    </row>
    <row r="33" spans="1:61">
      <c r="A33" s="1" t="s">
        <v>533</v>
      </c>
      <c r="B33" s="4">
        <v>15005502</v>
      </c>
      <c r="C33" s="1" t="s">
        <v>597</v>
      </c>
      <c r="D33" s="1" t="s">
        <v>506</v>
      </c>
      <c r="E33" s="338">
        <v>32721</v>
      </c>
      <c r="F33" s="7">
        <v>137</v>
      </c>
      <c r="G33" s="1" t="s">
        <v>760</v>
      </c>
      <c r="H33" s="7">
        <v>155</v>
      </c>
      <c r="I33" s="7">
        <v>7</v>
      </c>
      <c r="J33" s="1" t="s">
        <v>751</v>
      </c>
      <c r="K33" s="1" t="s">
        <v>413</v>
      </c>
      <c r="L33" s="1" t="s">
        <v>745</v>
      </c>
      <c r="M33" s="333" t="s">
        <v>744</v>
      </c>
      <c r="N33" s="332">
        <v>40509</v>
      </c>
      <c r="O33" s="181">
        <v>40475.300000000003</v>
      </c>
      <c r="P33" s="184">
        <v>39349.39</v>
      </c>
      <c r="Q33" s="229">
        <v>38314.01</v>
      </c>
      <c r="R33" s="192">
        <v>46102.9</v>
      </c>
      <c r="S33" s="195">
        <v>31694.799999999999</v>
      </c>
      <c r="T33" s="238">
        <v>23058.93</v>
      </c>
      <c r="U33" s="347">
        <v>20394.48</v>
      </c>
      <c r="V33" s="32"/>
      <c r="W33" s="217">
        <v>14677.21</v>
      </c>
      <c r="X33" s="220">
        <v>4441.51</v>
      </c>
      <c r="Y33" s="304">
        <v>7391.43</v>
      </c>
      <c r="Z33" s="172">
        <v>10104.89</v>
      </c>
      <c r="AA33" s="312">
        <f t="shared" si="6"/>
        <v>57009.520000000004</v>
      </c>
      <c r="AB33" s="384">
        <f t="shared" si="11"/>
        <v>276004.85000000003</v>
      </c>
      <c r="AD33" s="9">
        <f t="shared" si="7"/>
        <v>0</v>
      </c>
      <c r="AE33" s="9">
        <f t="shared" si="7"/>
        <v>0</v>
      </c>
      <c r="AF33" s="9">
        <f t="shared" si="7"/>
        <v>0</v>
      </c>
      <c r="AG33" s="9">
        <f t="shared" si="7"/>
        <v>0</v>
      </c>
      <c r="AH33" s="9">
        <f t="shared" si="7"/>
        <v>0</v>
      </c>
      <c r="AI33" s="9">
        <f t="shared" si="7"/>
        <v>0</v>
      </c>
      <c r="AJ33" s="9">
        <f t="shared" si="7"/>
        <v>0</v>
      </c>
      <c r="AK33" s="9">
        <f t="shared" si="7"/>
        <v>0</v>
      </c>
      <c r="AL33" s="9">
        <f t="shared" si="7"/>
        <v>0</v>
      </c>
      <c r="AM33" s="9">
        <f t="shared" si="7"/>
        <v>57009.520000000004</v>
      </c>
      <c r="AN33" s="9">
        <f t="shared" si="7"/>
        <v>0</v>
      </c>
      <c r="AO33" s="9">
        <f t="shared" si="7"/>
        <v>0</v>
      </c>
      <c r="AP33" s="9">
        <f t="shared" si="7"/>
        <v>0</v>
      </c>
      <c r="AQ33" s="9">
        <f t="shared" si="7"/>
        <v>0</v>
      </c>
      <c r="AR33" s="9">
        <f t="shared" si="7"/>
        <v>0</v>
      </c>
      <c r="AS33" s="9">
        <f t="shared" si="7"/>
        <v>0</v>
      </c>
      <c r="AT33" s="365">
        <f t="shared" si="3"/>
        <v>57009.520000000004</v>
      </c>
      <c r="AU33" s="416"/>
      <c r="AV33" s="7">
        <f t="shared" ref="AV33:BH48" si="13">+IF($A33=AV$2,$H33,0)</f>
        <v>0</v>
      </c>
      <c r="AW33" s="7">
        <f t="shared" si="13"/>
        <v>0</v>
      </c>
      <c r="AX33" s="7">
        <f t="shared" si="13"/>
        <v>0</v>
      </c>
      <c r="AY33" s="7">
        <f t="shared" si="13"/>
        <v>0</v>
      </c>
      <c r="AZ33" s="7">
        <f t="shared" si="13"/>
        <v>0</v>
      </c>
      <c r="BA33" s="7">
        <f t="shared" si="13"/>
        <v>0</v>
      </c>
      <c r="BB33" s="7">
        <f t="shared" si="13"/>
        <v>0</v>
      </c>
      <c r="BC33" s="7">
        <f t="shared" si="13"/>
        <v>0</v>
      </c>
      <c r="BD33" s="7">
        <f t="shared" si="13"/>
        <v>155</v>
      </c>
      <c r="BE33" s="7">
        <f t="shared" si="13"/>
        <v>0</v>
      </c>
      <c r="BF33" s="7">
        <f t="shared" si="13"/>
        <v>0</v>
      </c>
      <c r="BG33" s="7">
        <f t="shared" si="13"/>
        <v>0</v>
      </c>
      <c r="BH33" s="7">
        <f t="shared" si="13"/>
        <v>0</v>
      </c>
      <c r="BI33" s="420">
        <f t="shared" si="12"/>
        <v>155</v>
      </c>
    </row>
    <row r="34" spans="1:61">
      <c r="A34" s="1" t="s">
        <v>533</v>
      </c>
      <c r="B34" s="4">
        <v>7000800</v>
      </c>
      <c r="C34" s="1" t="s">
        <v>627</v>
      </c>
      <c r="D34" s="1" t="s">
        <v>241</v>
      </c>
      <c r="E34" s="338">
        <v>33695</v>
      </c>
      <c r="F34" s="7">
        <v>100</v>
      </c>
      <c r="G34" s="1" t="s">
        <v>762</v>
      </c>
      <c r="H34" s="7">
        <v>65</v>
      </c>
      <c r="I34" s="7"/>
      <c r="J34" s="1" t="s">
        <v>754</v>
      </c>
      <c r="K34" s="1" t="s">
        <v>761</v>
      </c>
      <c r="L34" s="1" t="s">
        <v>745</v>
      </c>
      <c r="M34" s="333" t="s">
        <v>744</v>
      </c>
      <c r="N34" s="332">
        <v>40509</v>
      </c>
      <c r="O34" s="181">
        <v>6530.93</v>
      </c>
      <c r="P34" s="184">
        <v>5645.92</v>
      </c>
      <c r="Q34" s="229">
        <v>5441.55</v>
      </c>
      <c r="R34" s="192">
        <v>6609.49</v>
      </c>
      <c r="S34" s="195">
        <v>5205.63</v>
      </c>
      <c r="T34" s="238">
        <v>8997.83</v>
      </c>
      <c r="U34" s="347">
        <v>4367.6499999999996</v>
      </c>
      <c r="V34" s="212">
        <v>4437.68</v>
      </c>
      <c r="W34" s="217">
        <v>4345.4399999999996</v>
      </c>
      <c r="X34" s="220">
        <v>4511.51</v>
      </c>
      <c r="Y34" s="304">
        <v>5717.56</v>
      </c>
      <c r="Z34" s="172">
        <v>5297.34</v>
      </c>
      <c r="AA34" s="312">
        <f t="shared" si="6"/>
        <v>28677.18</v>
      </c>
      <c r="AB34" s="398">
        <f t="shared" si="11"/>
        <v>67108.53</v>
      </c>
      <c r="AD34" s="9">
        <f t="shared" ref="AD34:AS49" si="14">+IF($A34=AD$2,SUM($U34:$Z34),0)</f>
        <v>0</v>
      </c>
      <c r="AE34" s="9">
        <f t="shared" si="14"/>
        <v>0</v>
      </c>
      <c r="AF34" s="9">
        <f t="shared" si="14"/>
        <v>0</v>
      </c>
      <c r="AG34" s="9">
        <f t="shared" si="14"/>
        <v>0</v>
      </c>
      <c r="AH34" s="9">
        <f t="shared" si="14"/>
        <v>0</v>
      </c>
      <c r="AI34" s="9">
        <f t="shared" si="14"/>
        <v>0</v>
      </c>
      <c r="AJ34" s="9">
        <f t="shared" si="14"/>
        <v>0</v>
      </c>
      <c r="AK34" s="9">
        <f t="shared" si="14"/>
        <v>0</v>
      </c>
      <c r="AL34" s="9">
        <f t="shared" si="14"/>
        <v>0</v>
      </c>
      <c r="AM34" s="9">
        <f t="shared" si="14"/>
        <v>28677.18</v>
      </c>
      <c r="AN34" s="9">
        <f t="shared" si="14"/>
        <v>0</v>
      </c>
      <c r="AO34" s="9">
        <f t="shared" si="14"/>
        <v>0</v>
      </c>
      <c r="AP34" s="9">
        <f t="shared" si="14"/>
        <v>0</v>
      </c>
      <c r="AQ34" s="9">
        <f t="shared" si="14"/>
        <v>0</v>
      </c>
      <c r="AR34" s="9">
        <f t="shared" si="14"/>
        <v>0</v>
      </c>
      <c r="AS34" s="9">
        <f t="shared" si="14"/>
        <v>0</v>
      </c>
      <c r="AT34" s="365">
        <f t="shared" si="3"/>
        <v>28677.18</v>
      </c>
      <c r="AU34" s="416"/>
      <c r="AV34" s="7">
        <f t="shared" si="13"/>
        <v>0</v>
      </c>
      <c r="AW34" s="7">
        <f t="shared" si="13"/>
        <v>0</v>
      </c>
      <c r="AX34" s="7">
        <f t="shared" si="13"/>
        <v>0</v>
      </c>
      <c r="AY34" s="7">
        <f t="shared" si="13"/>
        <v>0</v>
      </c>
      <c r="AZ34" s="7">
        <f t="shared" si="13"/>
        <v>0</v>
      </c>
      <c r="BA34" s="7">
        <f t="shared" si="13"/>
        <v>0</v>
      </c>
      <c r="BB34" s="7">
        <f t="shared" si="13"/>
        <v>0</v>
      </c>
      <c r="BC34" s="7">
        <f t="shared" si="13"/>
        <v>0</v>
      </c>
      <c r="BD34" s="7">
        <f t="shared" si="13"/>
        <v>65</v>
      </c>
      <c r="BE34" s="7">
        <f t="shared" si="13"/>
        <v>0</v>
      </c>
      <c r="BF34" s="7">
        <f t="shared" si="13"/>
        <v>0</v>
      </c>
      <c r="BG34" s="7">
        <f t="shared" si="13"/>
        <v>0</v>
      </c>
      <c r="BH34" s="7">
        <f t="shared" si="13"/>
        <v>0</v>
      </c>
      <c r="BI34" s="420">
        <f t="shared" si="12"/>
        <v>65</v>
      </c>
    </row>
    <row r="35" spans="1:61">
      <c r="A35" s="1" t="s">
        <v>970</v>
      </c>
      <c r="B35" s="4">
        <v>15033786</v>
      </c>
      <c r="C35" s="1" t="s">
        <v>563</v>
      </c>
      <c r="D35" s="1" t="s">
        <v>563</v>
      </c>
      <c r="E35" s="7"/>
      <c r="G35" s="1" t="s">
        <v>563</v>
      </c>
      <c r="H35" s="7">
        <v>5</v>
      </c>
      <c r="I35" s="7">
        <v>0</v>
      </c>
      <c r="K35" s="1" t="s">
        <v>446</v>
      </c>
      <c r="L35" s="1" t="s">
        <v>745</v>
      </c>
      <c r="M35" s="333" t="s">
        <v>744</v>
      </c>
      <c r="N35" s="332">
        <v>40510</v>
      </c>
      <c r="O35" s="181">
        <v>1032.33</v>
      </c>
      <c r="P35" s="184">
        <v>918</v>
      </c>
      <c r="Q35" s="229">
        <v>1942.25</v>
      </c>
      <c r="R35" s="195">
        <v>2524.5</v>
      </c>
      <c r="S35" s="136"/>
      <c r="T35" s="136"/>
      <c r="U35" s="136"/>
      <c r="V35" s="136"/>
      <c r="W35" s="136"/>
      <c r="X35" s="136"/>
      <c r="Y35" s="136"/>
      <c r="Z35" s="434">
        <v>44.83</v>
      </c>
      <c r="AA35" s="312">
        <f t="shared" si="6"/>
        <v>44.83</v>
      </c>
      <c r="AB35" s="392">
        <f t="shared" si="11"/>
        <v>6461.91</v>
      </c>
      <c r="AD35" s="9">
        <f t="shared" si="14"/>
        <v>0</v>
      </c>
      <c r="AE35" s="9">
        <f t="shared" si="14"/>
        <v>0</v>
      </c>
      <c r="AF35" s="9">
        <f t="shared" si="14"/>
        <v>0</v>
      </c>
      <c r="AG35" s="9">
        <f t="shared" si="14"/>
        <v>0</v>
      </c>
      <c r="AH35" s="9">
        <f t="shared" si="14"/>
        <v>0</v>
      </c>
      <c r="AI35" s="9">
        <f t="shared" si="14"/>
        <v>0</v>
      </c>
      <c r="AJ35" s="9">
        <f t="shared" si="14"/>
        <v>0</v>
      </c>
      <c r="AK35" s="9">
        <f t="shared" si="14"/>
        <v>0</v>
      </c>
      <c r="AL35" s="9">
        <f t="shared" si="14"/>
        <v>0</v>
      </c>
      <c r="AM35" s="9">
        <f t="shared" si="14"/>
        <v>0</v>
      </c>
      <c r="AN35" s="9">
        <f t="shared" si="14"/>
        <v>0</v>
      </c>
      <c r="AO35" s="9">
        <f t="shared" si="14"/>
        <v>0</v>
      </c>
      <c r="AP35" s="9">
        <f t="shared" si="14"/>
        <v>0</v>
      </c>
      <c r="AQ35" s="9">
        <f t="shared" si="14"/>
        <v>0</v>
      </c>
      <c r="AR35" s="9">
        <f t="shared" si="14"/>
        <v>44.83</v>
      </c>
      <c r="AS35" s="9">
        <f t="shared" si="14"/>
        <v>0</v>
      </c>
      <c r="AT35" s="365">
        <f t="shared" ref="AT35:AT66" si="15">+SUM(AD35:AS35)</f>
        <v>44.83</v>
      </c>
      <c r="AU35" s="416"/>
      <c r="AV35" s="7">
        <f t="shared" si="13"/>
        <v>0</v>
      </c>
      <c r="AW35" s="7">
        <f t="shared" si="13"/>
        <v>0</v>
      </c>
      <c r="AX35" s="7">
        <f t="shared" si="13"/>
        <v>0</v>
      </c>
      <c r="AY35" s="7">
        <f t="shared" si="13"/>
        <v>0</v>
      </c>
      <c r="AZ35" s="7">
        <f t="shared" si="13"/>
        <v>0</v>
      </c>
      <c r="BA35" s="7">
        <f t="shared" si="13"/>
        <v>0</v>
      </c>
      <c r="BB35" s="7">
        <f t="shared" si="13"/>
        <v>0</v>
      </c>
      <c r="BC35" s="7">
        <f t="shared" si="13"/>
        <v>0</v>
      </c>
      <c r="BD35" s="7">
        <f t="shared" si="13"/>
        <v>0</v>
      </c>
      <c r="BE35" s="7">
        <f t="shared" si="13"/>
        <v>0</v>
      </c>
      <c r="BF35" s="7">
        <f t="shared" si="13"/>
        <v>0</v>
      </c>
      <c r="BG35" s="7">
        <f t="shared" si="13"/>
        <v>0</v>
      </c>
      <c r="BH35" s="7">
        <f t="shared" si="13"/>
        <v>0</v>
      </c>
      <c r="BI35" s="420">
        <f t="shared" si="12"/>
        <v>0</v>
      </c>
    </row>
    <row r="36" spans="1:61">
      <c r="A36" s="1" t="s">
        <v>535</v>
      </c>
      <c r="B36" s="42">
        <v>7008100</v>
      </c>
      <c r="C36" s="11" t="s">
        <v>259</v>
      </c>
      <c r="D36" s="11" t="s">
        <v>384</v>
      </c>
      <c r="E36" s="338">
        <v>36312</v>
      </c>
      <c r="F36" s="340">
        <v>140</v>
      </c>
      <c r="G36" s="1" t="s">
        <v>384</v>
      </c>
      <c r="H36" s="7"/>
      <c r="I36" s="7">
        <v>13</v>
      </c>
      <c r="J36" s="1" t="s">
        <v>751</v>
      </c>
      <c r="K36" s="1" t="s">
        <v>415</v>
      </c>
      <c r="L36" s="1" t="s">
        <v>745</v>
      </c>
      <c r="M36" s="333" t="s">
        <v>744</v>
      </c>
      <c r="N36" s="332">
        <v>40511</v>
      </c>
      <c r="O36" s="181">
        <v>68259.17</v>
      </c>
      <c r="P36" s="184">
        <v>65636.11</v>
      </c>
      <c r="Q36" s="229">
        <v>63682.2</v>
      </c>
      <c r="R36" s="192">
        <v>84700.87</v>
      </c>
      <c r="S36" s="195">
        <v>51403.839999999997</v>
      </c>
      <c r="T36" s="136"/>
      <c r="U36" s="136"/>
      <c r="V36" s="136"/>
      <c r="W36" s="136"/>
      <c r="X36" s="136"/>
      <c r="Y36" s="136"/>
      <c r="Z36" s="136"/>
      <c r="AA36" s="312">
        <f t="shared" si="6"/>
        <v>0</v>
      </c>
      <c r="AB36" s="384">
        <f t="shared" si="11"/>
        <v>333682.18999999994</v>
      </c>
      <c r="AD36" s="9">
        <f t="shared" si="14"/>
        <v>0</v>
      </c>
      <c r="AE36" s="9">
        <f t="shared" si="14"/>
        <v>0</v>
      </c>
      <c r="AF36" s="9">
        <f t="shared" si="14"/>
        <v>0</v>
      </c>
      <c r="AG36" s="9">
        <f t="shared" si="14"/>
        <v>0</v>
      </c>
      <c r="AH36" s="9">
        <f t="shared" si="14"/>
        <v>0</v>
      </c>
      <c r="AI36" s="9">
        <f t="shared" si="14"/>
        <v>0</v>
      </c>
      <c r="AJ36" s="9">
        <f t="shared" si="14"/>
        <v>0</v>
      </c>
      <c r="AK36" s="9">
        <f t="shared" si="14"/>
        <v>0</v>
      </c>
      <c r="AL36" s="9">
        <f t="shared" si="14"/>
        <v>0</v>
      </c>
      <c r="AM36" s="9">
        <f t="shared" si="14"/>
        <v>0</v>
      </c>
      <c r="AN36" s="9">
        <f t="shared" si="14"/>
        <v>0</v>
      </c>
      <c r="AO36" s="9">
        <f t="shared" si="14"/>
        <v>0</v>
      </c>
      <c r="AP36" s="9">
        <f t="shared" si="14"/>
        <v>0</v>
      </c>
      <c r="AQ36" s="9">
        <f t="shared" si="14"/>
        <v>0</v>
      </c>
      <c r="AR36" s="9">
        <f t="shared" si="14"/>
        <v>0</v>
      </c>
      <c r="AS36" s="9">
        <f t="shared" si="14"/>
        <v>0</v>
      </c>
      <c r="AT36" s="365">
        <f t="shared" si="15"/>
        <v>0</v>
      </c>
      <c r="AU36" s="416"/>
      <c r="AV36" s="7">
        <f t="shared" si="13"/>
        <v>0</v>
      </c>
      <c r="AW36" s="7">
        <f t="shared" si="13"/>
        <v>0</v>
      </c>
      <c r="AX36" s="7">
        <f t="shared" si="13"/>
        <v>0</v>
      </c>
      <c r="AY36" s="7">
        <f t="shared" si="13"/>
        <v>0</v>
      </c>
      <c r="AZ36" s="7">
        <f t="shared" si="13"/>
        <v>0</v>
      </c>
      <c r="BA36" s="7">
        <f t="shared" si="13"/>
        <v>0</v>
      </c>
      <c r="BB36" s="7">
        <f t="shared" si="13"/>
        <v>0</v>
      </c>
      <c r="BC36" s="7">
        <f t="shared" si="13"/>
        <v>0</v>
      </c>
      <c r="BD36" s="7">
        <f t="shared" si="13"/>
        <v>0</v>
      </c>
      <c r="BE36" s="7">
        <f t="shared" si="13"/>
        <v>0</v>
      </c>
      <c r="BF36" s="7">
        <f t="shared" si="13"/>
        <v>0</v>
      </c>
      <c r="BG36" s="7">
        <f t="shared" si="13"/>
        <v>0</v>
      </c>
      <c r="BH36" s="7">
        <f t="shared" si="13"/>
        <v>0</v>
      </c>
      <c r="BI36" s="420">
        <f t="shared" si="12"/>
        <v>0</v>
      </c>
    </row>
    <row r="37" spans="1:61">
      <c r="A37" s="1" t="s">
        <v>535</v>
      </c>
      <c r="B37" s="42">
        <v>15066411</v>
      </c>
      <c r="C37" s="11"/>
      <c r="D37" s="11" t="s">
        <v>916</v>
      </c>
      <c r="E37" s="338"/>
      <c r="F37" s="340"/>
      <c r="H37" s="7">
        <v>230</v>
      </c>
      <c r="I37" s="7"/>
      <c r="M37" s="333"/>
      <c r="N37" s="332"/>
      <c r="O37" s="136"/>
      <c r="P37" s="136"/>
      <c r="Q37" s="136"/>
      <c r="R37" s="136"/>
      <c r="S37" s="136"/>
      <c r="T37" s="347">
        <v>33122.82</v>
      </c>
      <c r="U37" s="212">
        <v>33950.79</v>
      </c>
      <c r="V37" s="212">
        <v>44653.85</v>
      </c>
      <c r="W37" s="217">
        <v>17967.11</v>
      </c>
      <c r="X37" s="220">
        <v>970.15</v>
      </c>
      <c r="Y37" s="304">
        <v>3387.84</v>
      </c>
      <c r="Z37" s="172">
        <v>9892.8799999999992</v>
      </c>
      <c r="AA37" s="312">
        <f t="shared" si="6"/>
        <v>110822.62</v>
      </c>
      <c r="AB37" s="384">
        <f>SUM(T37:Z37)</f>
        <v>143945.44</v>
      </c>
      <c r="AD37" s="9">
        <f t="shared" si="14"/>
        <v>0</v>
      </c>
      <c r="AE37" s="9">
        <f t="shared" si="14"/>
        <v>0</v>
      </c>
      <c r="AF37" s="9">
        <f t="shared" si="14"/>
        <v>0</v>
      </c>
      <c r="AG37" s="9">
        <f t="shared" si="14"/>
        <v>0</v>
      </c>
      <c r="AH37" s="9">
        <f t="shared" si="14"/>
        <v>0</v>
      </c>
      <c r="AI37" s="9">
        <f t="shared" si="14"/>
        <v>0</v>
      </c>
      <c r="AJ37" s="9">
        <f t="shared" si="14"/>
        <v>0</v>
      </c>
      <c r="AK37" s="9">
        <f t="shared" si="14"/>
        <v>110822.62</v>
      </c>
      <c r="AL37" s="9">
        <f t="shared" si="14"/>
        <v>0</v>
      </c>
      <c r="AM37" s="9">
        <f t="shared" si="14"/>
        <v>0</v>
      </c>
      <c r="AN37" s="9">
        <f t="shared" si="14"/>
        <v>0</v>
      </c>
      <c r="AO37" s="9">
        <f t="shared" si="14"/>
        <v>0</v>
      </c>
      <c r="AP37" s="9">
        <f t="shared" si="14"/>
        <v>0</v>
      </c>
      <c r="AQ37" s="9">
        <f t="shared" si="14"/>
        <v>0</v>
      </c>
      <c r="AR37" s="9">
        <f t="shared" si="14"/>
        <v>0</v>
      </c>
      <c r="AS37" s="9">
        <f t="shared" si="14"/>
        <v>0</v>
      </c>
      <c r="AT37" s="365">
        <f t="shared" si="15"/>
        <v>110822.62</v>
      </c>
      <c r="AU37" s="416"/>
      <c r="AV37" s="7">
        <f t="shared" si="13"/>
        <v>0</v>
      </c>
      <c r="AW37" s="7">
        <f t="shared" si="13"/>
        <v>0</v>
      </c>
      <c r="AX37" s="7">
        <f t="shared" si="13"/>
        <v>0</v>
      </c>
      <c r="AY37" s="7">
        <f t="shared" si="13"/>
        <v>0</v>
      </c>
      <c r="AZ37" s="7">
        <f t="shared" si="13"/>
        <v>0</v>
      </c>
      <c r="BA37" s="7">
        <f t="shared" si="13"/>
        <v>0</v>
      </c>
      <c r="BB37" s="7">
        <f t="shared" si="13"/>
        <v>230</v>
      </c>
      <c r="BC37" s="7">
        <f t="shared" si="13"/>
        <v>0</v>
      </c>
      <c r="BD37" s="7">
        <f t="shared" si="13"/>
        <v>0</v>
      </c>
      <c r="BE37" s="7">
        <f t="shared" si="13"/>
        <v>0</v>
      </c>
      <c r="BF37" s="7">
        <f t="shared" si="13"/>
        <v>0</v>
      </c>
      <c r="BG37" s="7">
        <f t="shared" si="13"/>
        <v>0</v>
      </c>
      <c r="BH37" s="7">
        <f t="shared" si="13"/>
        <v>0</v>
      </c>
      <c r="BI37" s="420">
        <f t="shared" si="12"/>
        <v>230</v>
      </c>
    </row>
    <row r="38" spans="1:61">
      <c r="A38" s="1" t="s">
        <v>705</v>
      </c>
      <c r="B38" s="4">
        <v>15062402</v>
      </c>
      <c r="C38" s="1" t="s">
        <v>242</v>
      </c>
      <c r="D38" s="1" t="s">
        <v>242</v>
      </c>
      <c r="E38" s="338">
        <v>35674</v>
      </c>
      <c r="F38" s="7">
        <v>102</v>
      </c>
      <c r="G38" s="1" t="s">
        <v>242</v>
      </c>
      <c r="H38" s="7">
        <v>126</v>
      </c>
      <c r="I38" s="7">
        <v>0</v>
      </c>
      <c r="J38" s="1" t="s">
        <v>763</v>
      </c>
      <c r="K38" s="1" t="s">
        <v>417</v>
      </c>
      <c r="L38" s="1" t="s">
        <v>745</v>
      </c>
      <c r="M38" s="333" t="s">
        <v>744</v>
      </c>
      <c r="N38" s="332">
        <v>40503</v>
      </c>
      <c r="O38" s="181">
        <v>13074.4</v>
      </c>
      <c r="P38" s="184">
        <v>10657.89</v>
      </c>
      <c r="Q38" s="229">
        <v>12110.26</v>
      </c>
      <c r="R38" s="192">
        <v>12087.9</v>
      </c>
      <c r="S38" s="195">
        <v>11023.5</v>
      </c>
      <c r="T38" s="238">
        <v>6520.48</v>
      </c>
      <c r="U38" s="347">
        <v>7381.22</v>
      </c>
      <c r="V38" s="212">
        <v>7878.52</v>
      </c>
      <c r="W38" s="220">
        <v>7255.66</v>
      </c>
      <c r="X38" s="220">
        <v>5199.74</v>
      </c>
      <c r="Y38" s="304">
        <v>5635.29</v>
      </c>
      <c r="Z38" s="172">
        <v>6842.35</v>
      </c>
      <c r="AA38" s="312">
        <f t="shared" si="6"/>
        <v>40192.78</v>
      </c>
      <c r="AB38" s="384">
        <f t="shared" ref="AB38:AB44" si="16">SUM(O38:Z38)</f>
        <v>105667.21000000002</v>
      </c>
      <c r="AD38" s="9">
        <f t="shared" si="14"/>
        <v>0</v>
      </c>
      <c r="AE38" s="9">
        <f t="shared" si="14"/>
        <v>0</v>
      </c>
      <c r="AF38" s="9">
        <f t="shared" si="14"/>
        <v>0</v>
      </c>
      <c r="AG38" s="9">
        <f t="shared" si="14"/>
        <v>0</v>
      </c>
      <c r="AH38" s="9">
        <f t="shared" si="14"/>
        <v>0</v>
      </c>
      <c r="AI38" s="9">
        <f t="shared" si="14"/>
        <v>0</v>
      </c>
      <c r="AJ38" s="9">
        <f t="shared" si="14"/>
        <v>0</v>
      </c>
      <c r="AK38" s="9">
        <f t="shared" si="14"/>
        <v>0</v>
      </c>
      <c r="AL38" s="9">
        <f t="shared" si="14"/>
        <v>0</v>
      </c>
      <c r="AM38" s="9">
        <f t="shared" si="14"/>
        <v>0</v>
      </c>
      <c r="AN38" s="9">
        <f t="shared" si="14"/>
        <v>0</v>
      </c>
      <c r="AO38" s="9">
        <f t="shared" si="14"/>
        <v>0</v>
      </c>
      <c r="AP38" s="9">
        <f t="shared" si="14"/>
        <v>0</v>
      </c>
      <c r="AQ38" s="9">
        <f t="shared" si="14"/>
        <v>0</v>
      </c>
      <c r="AR38" s="9">
        <f t="shared" si="14"/>
        <v>0</v>
      </c>
      <c r="AS38" s="9">
        <f t="shared" si="14"/>
        <v>40192.78</v>
      </c>
      <c r="AT38" s="365">
        <f t="shared" si="15"/>
        <v>40192.78</v>
      </c>
      <c r="AU38" s="416"/>
      <c r="AV38" s="7">
        <f t="shared" si="13"/>
        <v>0</v>
      </c>
      <c r="AW38" s="7">
        <f t="shared" si="13"/>
        <v>0</v>
      </c>
      <c r="AX38" s="7">
        <f t="shared" si="13"/>
        <v>0</v>
      </c>
      <c r="AY38" s="7">
        <f t="shared" si="13"/>
        <v>0</v>
      </c>
      <c r="AZ38" s="7">
        <f t="shared" si="13"/>
        <v>0</v>
      </c>
      <c r="BA38" s="7">
        <f t="shared" si="13"/>
        <v>0</v>
      </c>
      <c r="BB38" s="7">
        <f t="shared" si="13"/>
        <v>0</v>
      </c>
      <c r="BC38" s="7">
        <f t="shared" si="13"/>
        <v>0</v>
      </c>
      <c r="BD38" s="7">
        <f t="shared" si="13"/>
        <v>0</v>
      </c>
      <c r="BE38" s="7">
        <f t="shared" si="13"/>
        <v>0</v>
      </c>
      <c r="BF38" s="7">
        <f t="shared" si="13"/>
        <v>0</v>
      </c>
      <c r="BG38" s="7">
        <f t="shared" si="13"/>
        <v>0</v>
      </c>
      <c r="BH38" s="7">
        <f t="shared" si="13"/>
        <v>126</v>
      </c>
      <c r="BI38" s="420">
        <f t="shared" si="12"/>
        <v>126</v>
      </c>
    </row>
    <row r="39" spans="1:61">
      <c r="A39" s="1" t="s">
        <v>705</v>
      </c>
      <c r="B39" s="4">
        <v>15062403</v>
      </c>
      <c r="D39" s="1" t="s">
        <v>890</v>
      </c>
      <c r="H39" s="1">
        <v>72</v>
      </c>
      <c r="O39" s="181">
        <v>8210.2199999999993</v>
      </c>
      <c r="P39" s="184">
        <v>8257.52</v>
      </c>
      <c r="Q39" s="229">
        <v>7593.68</v>
      </c>
      <c r="R39" s="192">
        <v>8335.2999999999993</v>
      </c>
      <c r="S39" s="195">
        <v>7569.19</v>
      </c>
      <c r="T39" s="238">
        <v>5852.05</v>
      </c>
      <c r="U39" s="347">
        <v>5607.96</v>
      </c>
      <c r="V39" s="212">
        <v>5502.58</v>
      </c>
      <c r="W39" s="220">
        <v>4887.25</v>
      </c>
      <c r="X39" s="220">
        <v>3885.23</v>
      </c>
      <c r="Y39" s="304">
        <v>4066.31</v>
      </c>
      <c r="Z39" s="172">
        <v>5064.49</v>
      </c>
      <c r="AA39" s="312">
        <f t="shared" si="6"/>
        <v>29013.82</v>
      </c>
      <c r="AB39" s="384">
        <f t="shared" si="16"/>
        <v>74831.78</v>
      </c>
      <c r="AD39" s="9">
        <f t="shared" si="14"/>
        <v>0</v>
      </c>
      <c r="AE39" s="9">
        <f t="shared" si="14"/>
        <v>0</v>
      </c>
      <c r="AF39" s="9">
        <f t="shared" si="14"/>
        <v>0</v>
      </c>
      <c r="AG39" s="9">
        <f t="shared" si="14"/>
        <v>0</v>
      </c>
      <c r="AH39" s="9">
        <f t="shared" si="14"/>
        <v>0</v>
      </c>
      <c r="AI39" s="9">
        <f t="shared" si="14"/>
        <v>0</v>
      </c>
      <c r="AJ39" s="9">
        <f t="shared" si="14"/>
        <v>0</v>
      </c>
      <c r="AK39" s="9">
        <f t="shared" si="14"/>
        <v>0</v>
      </c>
      <c r="AL39" s="9">
        <f t="shared" si="14"/>
        <v>0</v>
      </c>
      <c r="AM39" s="9">
        <f t="shared" si="14"/>
        <v>0</v>
      </c>
      <c r="AN39" s="9">
        <f t="shared" si="14"/>
        <v>0</v>
      </c>
      <c r="AO39" s="9">
        <f t="shared" si="14"/>
        <v>0</v>
      </c>
      <c r="AP39" s="9">
        <f t="shared" si="14"/>
        <v>0</v>
      </c>
      <c r="AQ39" s="9">
        <f t="shared" si="14"/>
        <v>0</v>
      </c>
      <c r="AR39" s="9">
        <f t="shared" si="14"/>
        <v>0</v>
      </c>
      <c r="AS39" s="9">
        <f t="shared" si="14"/>
        <v>29013.82</v>
      </c>
      <c r="AT39" s="365">
        <f t="shared" si="15"/>
        <v>29013.82</v>
      </c>
      <c r="AU39" s="416"/>
      <c r="AV39" s="7">
        <f t="shared" si="13"/>
        <v>0</v>
      </c>
      <c r="AW39" s="7">
        <f t="shared" si="13"/>
        <v>0</v>
      </c>
      <c r="AX39" s="7">
        <f t="shared" si="13"/>
        <v>0</v>
      </c>
      <c r="AY39" s="7">
        <f t="shared" si="13"/>
        <v>0</v>
      </c>
      <c r="AZ39" s="7">
        <f t="shared" si="13"/>
        <v>0</v>
      </c>
      <c r="BA39" s="7">
        <f t="shared" si="13"/>
        <v>0</v>
      </c>
      <c r="BB39" s="7">
        <f t="shared" si="13"/>
        <v>0</v>
      </c>
      <c r="BC39" s="7">
        <f t="shared" si="13"/>
        <v>0</v>
      </c>
      <c r="BD39" s="7">
        <f t="shared" si="13"/>
        <v>0</v>
      </c>
      <c r="BE39" s="7">
        <f t="shared" si="13"/>
        <v>0</v>
      </c>
      <c r="BF39" s="7">
        <f t="shared" si="13"/>
        <v>0</v>
      </c>
      <c r="BG39" s="7">
        <f t="shared" si="13"/>
        <v>0</v>
      </c>
      <c r="BH39" s="7">
        <f t="shared" si="13"/>
        <v>72</v>
      </c>
      <c r="BI39" s="420">
        <f t="shared" si="12"/>
        <v>72</v>
      </c>
    </row>
    <row r="40" spans="1:61">
      <c r="A40" s="1" t="s">
        <v>535</v>
      </c>
      <c r="B40" s="4">
        <v>15006827</v>
      </c>
      <c r="C40" s="1" t="s">
        <v>598</v>
      </c>
      <c r="D40" s="1" t="s">
        <v>344</v>
      </c>
      <c r="E40" s="7">
        <v>2009</v>
      </c>
      <c r="F40" s="7">
        <v>4124</v>
      </c>
      <c r="G40" s="1" t="s">
        <v>764</v>
      </c>
      <c r="H40" s="7">
        <v>114</v>
      </c>
      <c r="I40" s="7">
        <v>2</v>
      </c>
      <c r="J40" s="1" t="s">
        <v>765</v>
      </c>
      <c r="K40" s="1" t="s">
        <v>418</v>
      </c>
      <c r="L40" s="1" t="s">
        <v>745</v>
      </c>
      <c r="M40" s="333" t="s">
        <v>744</v>
      </c>
      <c r="N40" s="332">
        <v>40511</v>
      </c>
      <c r="O40" s="181">
        <v>24113.4</v>
      </c>
      <c r="P40" s="184">
        <v>25472.63</v>
      </c>
      <c r="Q40" s="229">
        <v>21833.95</v>
      </c>
      <c r="R40" s="192">
        <v>31222.46</v>
      </c>
      <c r="S40" s="195">
        <v>19441.46</v>
      </c>
      <c r="T40" s="238">
        <v>11688.69</v>
      </c>
      <c r="U40" s="347">
        <v>9496.1200000000008</v>
      </c>
      <c r="V40" s="212">
        <v>12224.96</v>
      </c>
      <c r="W40" s="217">
        <v>7410.56</v>
      </c>
      <c r="X40" s="220">
        <v>2477.92</v>
      </c>
      <c r="Y40" s="304">
        <v>4508.32</v>
      </c>
      <c r="Z40" s="172">
        <v>7880.78</v>
      </c>
      <c r="AA40" s="312">
        <f t="shared" si="6"/>
        <v>43998.66</v>
      </c>
      <c r="AB40" s="384">
        <f t="shared" si="16"/>
        <v>177771.25</v>
      </c>
      <c r="AD40" s="9">
        <f t="shared" si="14"/>
        <v>0</v>
      </c>
      <c r="AE40" s="9">
        <f t="shared" si="14"/>
        <v>0</v>
      </c>
      <c r="AF40" s="9">
        <f t="shared" si="14"/>
        <v>0</v>
      </c>
      <c r="AG40" s="9">
        <f t="shared" si="14"/>
        <v>0</v>
      </c>
      <c r="AH40" s="9">
        <f t="shared" si="14"/>
        <v>0</v>
      </c>
      <c r="AI40" s="9">
        <f t="shared" si="14"/>
        <v>0</v>
      </c>
      <c r="AJ40" s="9">
        <f t="shared" si="14"/>
        <v>0</v>
      </c>
      <c r="AK40" s="9">
        <f t="shared" si="14"/>
        <v>43998.66</v>
      </c>
      <c r="AL40" s="9">
        <f t="shared" si="14"/>
        <v>0</v>
      </c>
      <c r="AM40" s="9">
        <f t="shared" si="14"/>
        <v>0</v>
      </c>
      <c r="AN40" s="9">
        <f t="shared" si="14"/>
        <v>0</v>
      </c>
      <c r="AO40" s="9">
        <f t="shared" si="14"/>
        <v>0</v>
      </c>
      <c r="AP40" s="9">
        <f t="shared" si="14"/>
        <v>0</v>
      </c>
      <c r="AQ40" s="9">
        <f t="shared" si="14"/>
        <v>0</v>
      </c>
      <c r="AR40" s="9">
        <f t="shared" si="14"/>
        <v>0</v>
      </c>
      <c r="AS40" s="9">
        <f t="shared" si="14"/>
        <v>0</v>
      </c>
      <c r="AT40" s="365">
        <f t="shared" si="15"/>
        <v>43998.66</v>
      </c>
      <c r="AU40" s="416"/>
      <c r="AV40" s="7">
        <f t="shared" si="13"/>
        <v>0</v>
      </c>
      <c r="AW40" s="7">
        <f t="shared" si="13"/>
        <v>0</v>
      </c>
      <c r="AX40" s="7">
        <f t="shared" si="13"/>
        <v>0</v>
      </c>
      <c r="AY40" s="7">
        <f t="shared" si="13"/>
        <v>0</v>
      </c>
      <c r="AZ40" s="7">
        <f t="shared" si="13"/>
        <v>0</v>
      </c>
      <c r="BA40" s="7">
        <f t="shared" si="13"/>
        <v>0</v>
      </c>
      <c r="BB40" s="7">
        <f t="shared" si="13"/>
        <v>114</v>
      </c>
      <c r="BC40" s="7">
        <f t="shared" si="13"/>
        <v>0</v>
      </c>
      <c r="BD40" s="7">
        <f t="shared" si="13"/>
        <v>0</v>
      </c>
      <c r="BE40" s="7">
        <f t="shared" si="13"/>
        <v>0</v>
      </c>
      <c r="BF40" s="7">
        <f t="shared" si="13"/>
        <v>0</v>
      </c>
      <c r="BG40" s="7">
        <f t="shared" si="13"/>
        <v>0</v>
      </c>
      <c r="BH40" s="7">
        <f t="shared" si="13"/>
        <v>0</v>
      </c>
      <c r="BI40" s="420">
        <f t="shared" si="12"/>
        <v>114</v>
      </c>
    </row>
    <row r="41" spans="1:61">
      <c r="A41" s="1" t="s">
        <v>537</v>
      </c>
      <c r="B41" s="4">
        <v>15036833</v>
      </c>
      <c r="C41" s="1" t="s">
        <v>591</v>
      </c>
      <c r="D41" s="1" t="s">
        <v>591</v>
      </c>
      <c r="E41" s="338">
        <v>34516</v>
      </c>
      <c r="F41" s="7">
        <v>103</v>
      </c>
      <c r="G41" s="1" t="s">
        <v>766</v>
      </c>
      <c r="H41" s="7">
        <v>60</v>
      </c>
      <c r="I41" s="7">
        <v>0</v>
      </c>
      <c r="J41" s="1" t="s">
        <v>765</v>
      </c>
      <c r="K41" s="1" t="s">
        <v>459</v>
      </c>
      <c r="L41" s="1" t="s">
        <v>745</v>
      </c>
      <c r="M41" s="333" t="s">
        <v>744</v>
      </c>
      <c r="N41" s="332">
        <v>40513</v>
      </c>
      <c r="O41" s="181">
        <v>13041.39</v>
      </c>
      <c r="P41" s="184">
        <v>11831.52</v>
      </c>
      <c r="Q41" s="229">
        <v>14605.68</v>
      </c>
      <c r="R41" s="192">
        <v>18259.8</v>
      </c>
      <c r="S41" s="195">
        <v>12083.95</v>
      </c>
      <c r="T41" s="238">
        <v>8024.89</v>
      </c>
      <c r="U41" s="347">
        <v>7378.92</v>
      </c>
      <c r="V41" s="212">
        <v>9945.9599999999991</v>
      </c>
      <c r="W41" s="217">
        <v>4373.1499999999996</v>
      </c>
      <c r="X41" s="220">
        <v>212.78</v>
      </c>
      <c r="Y41" s="304">
        <v>319.41000000000003</v>
      </c>
      <c r="Z41" s="172">
        <v>3360.16</v>
      </c>
      <c r="AA41" s="312">
        <f t="shared" si="6"/>
        <v>25590.379999999997</v>
      </c>
      <c r="AB41" s="384">
        <f t="shared" si="16"/>
        <v>103437.60999999999</v>
      </c>
      <c r="AD41" s="9">
        <f t="shared" si="14"/>
        <v>0</v>
      </c>
      <c r="AE41" s="9">
        <f t="shared" si="14"/>
        <v>25590.379999999997</v>
      </c>
      <c r="AF41" s="9">
        <f t="shared" si="14"/>
        <v>0</v>
      </c>
      <c r="AG41" s="9">
        <f t="shared" si="14"/>
        <v>0</v>
      </c>
      <c r="AH41" s="9">
        <f t="shared" si="14"/>
        <v>0</v>
      </c>
      <c r="AI41" s="9">
        <f t="shared" si="14"/>
        <v>0</v>
      </c>
      <c r="AJ41" s="9">
        <f t="shared" si="14"/>
        <v>0</v>
      </c>
      <c r="AK41" s="9">
        <f t="shared" si="14"/>
        <v>0</v>
      </c>
      <c r="AL41" s="9">
        <f t="shared" si="14"/>
        <v>0</v>
      </c>
      <c r="AM41" s="9">
        <f t="shared" si="14"/>
        <v>0</v>
      </c>
      <c r="AN41" s="9">
        <f t="shared" si="14"/>
        <v>0</v>
      </c>
      <c r="AO41" s="9">
        <f t="shared" si="14"/>
        <v>0</v>
      </c>
      <c r="AP41" s="9">
        <f t="shared" si="14"/>
        <v>0</v>
      </c>
      <c r="AQ41" s="9">
        <f t="shared" si="14"/>
        <v>0</v>
      </c>
      <c r="AR41" s="9">
        <f t="shared" si="14"/>
        <v>0</v>
      </c>
      <c r="AS41" s="9">
        <f t="shared" si="14"/>
        <v>0</v>
      </c>
      <c r="AT41" s="365">
        <f t="shared" si="15"/>
        <v>25590.379999999997</v>
      </c>
      <c r="AU41" s="416"/>
      <c r="AV41" s="7">
        <f t="shared" si="13"/>
        <v>0</v>
      </c>
      <c r="AW41" s="7">
        <f t="shared" si="13"/>
        <v>60</v>
      </c>
      <c r="AX41" s="7">
        <f t="shared" si="13"/>
        <v>0</v>
      </c>
      <c r="AY41" s="7">
        <f t="shared" si="13"/>
        <v>0</v>
      </c>
      <c r="AZ41" s="7">
        <f t="shared" si="13"/>
        <v>0</v>
      </c>
      <c r="BA41" s="7">
        <f t="shared" si="13"/>
        <v>0</v>
      </c>
      <c r="BB41" s="7">
        <f t="shared" si="13"/>
        <v>0</v>
      </c>
      <c r="BC41" s="7">
        <f t="shared" si="13"/>
        <v>0</v>
      </c>
      <c r="BD41" s="7">
        <f t="shared" si="13"/>
        <v>0</v>
      </c>
      <c r="BE41" s="7">
        <f t="shared" si="13"/>
        <v>0</v>
      </c>
      <c r="BF41" s="7">
        <f t="shared" si="13"/>
        <v>0</v>
      </c>
      <c r="BG41" s="7">
        <f t="shared" si="13"/>
        <v>0</v>
      </c>
      <c r="BH41" s="7">
        <f t="shared" si="13"/>
        <v>0</v>
      </c>
      <c r="BI41" s="420">
        <f t="shared" si="12"/>
        <v>60</v>
      </c>
    </row>
    <row r="42" spans="1:61">
      <c r="A42" s="1" t="s">
        <v>659</v>
      </c>
      <c r="B42" s="4">
        <v>15059799</v>
      </c>
      <c r="D42" s="1" t="s">
        <v>887</v>
      </c>
      <c r="H42" s="1">
        <v>84</v>
      </c>
      <c r="O42" s="181">
        <v>17590.21</v>
      </c>
      <c r="P42" s="184">
        <v>15238.29</v>
      </c>
      <c r="Q42" s="229">
        <v>16989.099999999999</v>
      </c>
      <c r="R42" s="192">
        <v>21983.82</v>
      </c>
      <c r="S42" s="195">
        <v>13398</v>
      </c>
      <c r="T42" s="238">
        <v>8997.83</v>
      </c>
      <c r="U42" s="347">
        <v>7421.84</v>
      </c>
      <c r="V42" s="217">
        <v>10155.91</v>
      </c>
      <c r="W42" s="217">
        <v>7334.16</v>
      </c>
      <c r="X42" s="220">
        <v>1208.26</v>
      </c>
      <c r="Y42" s="304">
        <v>2457.23</v>
      </c>
      <c r="Z42" s="172">
        <v>5187.3599999999997</v>
      </c>
      <c r="AA42" s="312">
        <f t="shared" si="6"/>
        <v>33764.759999999995</v>
      </c>
      <c r="AB42" s="395">
        <f t="shared" si="16"/>
        <v>127962.01</v>
      </c>
      <c r="AD42" s="9">
        <f t="shared" si="14"/>
        <v>0</v>
      </c>
      <c r="AE42" s="9">
        <f t="shared" si="14"/>
        <v>0</v>
      </c>
      <c r="AF42" s="9">
        <f t="shared" si="14"/>
        <v>0</v>
      </c>
      <c r="AG42" s="9">
        <f t="shared" si="14"/>
        <v>0</v>
      </c>
      <c r="AH42" s="9">
        <f t="shared" si="14"/>
        <v>0</v>
      </c>
      <c r="AI42" s="9">
        <f t="shared" si="14"/>
        <v>0</v>
      </c>
      <c r="AJ42" s="9">
        <f t="shared" si="14"/>
        <v>0</v>
      </c>
      <c r="AK42" s="9">
        <f t="shared" si="14"/>
        <v>0</v>
      </c>
      <c r="AL42" s="9">
        <f t="shared" si="14"/>
        <v>0</v>
      </c>
      <c r="AM42" s="9">
        <f t="shared" si="14"/>
        <v>0</v>
      </c>
      <c r="AN42" s="9">
        <f t="shared" si="14"/>
        <v>0</v>
      </c>
      <c r="AO42" s="9">
        <f t="shared" si="14"/>
        <v>33764.759999999995</v>
      </c>
      <c r="AP42" s="9">
        <f t="shared" si="14"/>
        <v>0</v>
      </c>
      <c r="AQ42" s="9">
        <f t="shared" si="14"/>
        <v>0</v>
      </c>
      <c r="AR42" s="9">
        <f t="shared" si="14"/>
        <v>0</v>
      </c>
      <c r="AS42" s="9">
        <f t="shared" si="14"/>
        <v>0</v>
      </c>
      <c r="AT42" s="365">
        <f t="shared" si="15"/>
        <v>33764.759999999995</v>
      </c>
      <c r="AU42" s="416"/>
      <c r="AV42" s="7">
        <f t="shared" si="13"/>
        <v>0</v>
      </c>
      <c r="AW42" s="7">
        <f t="shared" si="13"/>
        <v>0</v>
      </c>
      <c r="AX42" s="7">
        <f t="shared" si="13"/>
        <v>0</v>
      </c>
      <c r="AY42" s="7">
        <f t="shared" si="13"/>
        <v>0</v>
      </c>
      <c r="AZ42" s="7">
        <f t="shared" si="13"/>
        <v>0</v>
      </c>
      <c r="BA42" s="7">
        <f t="shared" si="13"/>
        <v>0</v>
      </c>
      <c r="BB42" s="7">
        <f t="shared" si="13"/>
        <v>0</v>
      </c>
      <c r="BC42" s="7">
        <f t="shared" si="13"/>
        <v>0</v>
      </c>
      <c r="BD42" s="7">
        <f t="shared" si="13"/>
        <v>0</v>
      </c>
      <c r="BE42" s="7">
        <f t="shared" si="13"/>
        <v>0</v>
      </c>
      <c r="BF42" s="7">
        <f t="shared" si="13"/>
        <v>84</v>
      </c>
      <c r="BG42" s="7">
        <f t="shared" si="13"/>
        <v>0</v>
      </c>
      <c r="BH42" s="7">
        <f t="shared" si="13"/>
        <v>0</v>
      </c>
      <c r="BI42" s="420">
        <f t="shared" si="12"/>
        <v>84</v>
      </c>
    </row>
    <row r="43" spans="1:61">
      <c r="A43" s="1" t="s">
        <v>535</v>
      </c>
      <c r="B43" s="4">
        <v>15031377</v>
      </c>
      <c r="C43" s="1" t="s">
        <v>625</v>
      </c>
      <c r="D43" s="1" t="s">
        <v>497</v>
      </c>
      <c r="E43" s="7">
        <v>1974</v>
      </c>
      <c r="G43" s="1" t="s">
        <v>798</v>
      </c>
      <c r="H43" s="7"/>
      <c r="I43" s="7">
        <v>7</v>
      </c>
      <c r="J43" s="1" t="s">
        <v>797</v>
      </c>
      <c r="K43" s="1" t="s">
        <v>457</v>
      </c>
      <c r="L43" s="1" t="s">
        <v>745</v>
      </c>
      <c r="M43" s="333" t="s">
        <v>744</v>
      </c>
      <c r="N43" s="332">
        <v>40511</v>
      </c>
      <c r="O43" s="181">
        <v>15067.9</v>
      </c>
      <c r="P43" s="184">
        <v>10173</v>
      </c>
      <c r="Q43" s="229">
        <v>9182.93</v>
      </c>
      <c r="R43" s="192">
        <v>12082.48</v>
      </c>
      <c r="S43" s="195">
        <v>6380.1</v>
      </c>
      <c r="T43" s="238">
        <v>1120.8900000000001</v>
      </c>
      <c r="U43" s="136"/>
      <c r="V43" s="136"/>
      <c r="W43" s="136"/>
      <c r="X43" s="136"/>
      <c r="Y43" s="136"/>
      <c r="Z43" s="136"/>
      <c r="AA43" s="312">
        <f t="shared" si="6"/>
        <v>0</v>
      </c>
      <c r="AB43" s="384">
        <f t="shared" si="16"/>
        <v>54007.299999999996</v>
      </c>
      <c r="AD43" s="9">
        <f t="shared" si="14"/>
        <v>0</v>
      </c>
      <c r="AE43" s="9">
        <f t="shared" si="14"/>
        <v>0</v>
      </c>
      <c r="AF43" s="9">
        <f t="shared" si="14"/>
        <v>0</v>
      </c>
      <c r="AG43" s="9">
        <f t="shared" si="14"/>
        <v>0</v>
      </c>
      <c r="AH43" s="9">
        <f t="shared" si="14"/>
        <v>0</v>
      </c>
      <c r="AI43" s="9">
        <f t="shared" si="14"/>
        <v>0</v>
      </c>
      <c r="AJ43" s="9">
        <f t="shared" si="14"/>
        <v>0</v>
      </c>
      <c r="AK43" s="9">
        <f t="shared" si="14"/>
        <v>0</v>
      </c>
      <c r="AL43" s="9">
        <f t="shared" si="14"/>
        <v>0</v>
      </c>
      <c r="AM43" s="9">
        <f t="shared" si="14"/>
        <v>0</v>
      </c>
      <c r="AN43" s="9">
        <f t="shared" si="14"/>
        <v>0</v>
      </c>
      <c r="AO43" s="9">
        <f t="shared" si="14"/>
        <v>0</v>
      </c>
      <c r="AP43" s="9">
        <f t="shared" si="14"/>
        <v>0</v>
      </c>
      <c r="AQ43" s="9">
        <f t="shared" si="14"/>
        <v>0</v>
      </c>
      <c r="AR43" s="9">
        <f t="shared" si="14"/>
        <v>0</v>
      </c>
      <c r="AS43" s="9">
        <f t="shared" si="14"/>
        <v>0</v>
      </c>
      <c r="AT43" s="365">
        <f t="shared" si="15"/>
        <v>0</v>
      </c>
      <c r="AU43" s="416"/>
      <c r="AV43" s="7">
        <f t="shared" si="13"/>
        <v>0</v>
      </c>
      <c r="AW43" s="7">
        <f t="shared" si="13"/>
        <v>0</v>
      </c>
      <c r="AX43" s="7">
        <f t="shared" si="13"/>
        <v>0</v>
      </c>
      <c r="AY43" s="7">
        <f t="shared" si="13"/>
        <v>0</v>
      </c>
      <c r="AZ43" s="7">
        <f t="shared" si="13"/>
        <v>0</v>
      </c>
      <c r="BA43" s="7">
        <f t="shared" si="13"/>
        <v>0</v>
      </c>
      <c r="BB43" s="7">
        <f t="shared" si="13"/>
        <v>0</v>
      </c>
      <c r="BC43" s="7">
        <f t="shared" si="13"/>
        <v>0</v>
      </c>
      <c r="BD43" s="7">
        <f t="shared" si="13"/>
        <v>0</v>
      </c>
      <c r="BE43" s="7">
        <f t="shared" si="13"/>
        <v>0</v>
      </c>
      <c r="BF43" s="7">
        <f t="shared" si="13"/>
        <v>0</v>
      </c>
      <c r="BG43" s="7">
        <f t="shared" si="13"/>
        <v>0</v>
      </c>
      <c r="BH43" s="7">
        <f t="shared" si="13"/>
        <v>0</v>
      </c>
      <c r="BI43" s="420">
        <f t="shared" si="12"/>
        <v>0</v>
      </c>
    </row>
    <row r="44" spans="1:61">
      <c r="A44" s="1" t="s">
        <v>535</v>
      </c>
      <c r="B44" s="4">
        <v>7002501</v>
      </c>
      <c r="D44" s="1" t="s">
        <v>892</v>
      </c>
      <c r="E44" s="7"/>
      <c r="H44" s="7">
        <v>79</v>
      </c>
      <c r="I44" s="7"/>
      <c r="M44" s="333"/>
      <c r="N44" s="332"/>
      <c r="O44" s="181">
        <v>20323</v>
      </c>
      <c r="P44" s="184">
        <v>19373</v>
      </c>
      <c r="Q44" s="229">
        <v>17101</v>
      </c>
      <c r="R44" s="192">
        <v>22607</v>
      </c>
      <c r="S44" s="195">
        <v>14444</v>
      </c>
      <c r="T44" s="238">
        <v>10138</v>
      </c>
      <c r="U44" s="347">
        <v>8032</v>
      </c>
      <c r="V44" s="212">
        <v>10407</v>
      </c>
      <c r="W44" s="217">
        <v>8876</v>
      </c>
      <c r="X44" s="220">
        <v>3280</v>
      </c>
      <c r="Y44" s="304">
        <v>5150</v>
      </c>
      <c r="Z44" s="172">
        <v>7476</v>
      </c>
      <c r="AA44" s="312">
        <f t="shared" si="6"/>
        <v>43221</v>
      </c>
      <c r="AB44" s="395">
        <f t="shared" si="16"/>
        <v>147207</v>
      </c>
      <c r="AD44" s="9">
        <f t="shared" si="14"/>
        <v>0</v>
      </c>
      <c r="AE44" s="9">
        <f t="shared" si="14"/>
        <v>0</v>
      </c>
      <c r="AF44" s="9">
        <f t="shared" si="14"/>
        <v>0</v>
      </c>
      <c r="AG44" s="9">
        <f t="shared" si="14"/>
        <v>0</v>
      </c>
      <c r="AH44" s="9">
        <f t="shared" si="14"/>
        <v>0</v>
      </c>
      <c r="AI44" s="9">
        <f t="shared" si="14"/>
        <v>0</v>
      </c>
      <c r="AJ44" s="9">
        <f t="shared" si="14"/>
        <v>0</v>
      </c>
      <c r="AK44" s="9">
        <f t="shared" si="14"/>
        <v>43221</v>
      </c>
      <c r="AL44" s="9">
        <f t="shared" si="14"/>
        <v>0</v>
      </c>
      <c r="AM44" s="9">
        <f t="shared" si="14"/>
        <v>0</v>
      </c>
      <c r="AN44" s="9">
        <f t="shared" si="14"/>
        <v>0</v>
      </c>
      <c r="AO44" s="9">
        <f t="shared" si="14"/>
        <v>0</v>
      </c>
      <c r="AP44" s="9">
        <f t="shared" si="14"/>
        <v>0</v>
      </c>
      <c r="AQ44" s="9">
        <f t="shared" si="14"/>
        <v>0</v>
      </c>
      <c r="AR44" s="9">
        <f t="shared" si="14"/>
        <v>0</v>
      </c>
      <c r="AS44" s="9">
        <f t="shared" si="14"/>
        <v>0</v>
      </c>
      <c r="AT44" s="365">
        <f t="shared" si="15"/>
        <v>43221</v>
      </c>
      <c r="AU44" s="416"/>
      <c r="AV44" s="7">
        <f t="shared" si="13"/>
        <v>0</v>
      </c>
      <c r="AW44" s="7">
        <f t="shared" si="13"/>
        <v>0</v>
      </c>
      <c r="AX44" s="7">
        <f t="shared" si="13"/>
        <v>0</v>
      </c>
      <c r="AY44" s="7">
        <f t="shared" si="13"/>
        <v>0</v>
      </c>
      <c r="AZ44" s="7">
        <f t="shared" si="13"/>
        <v>0</v>
      </c>
      <c r="BA44" s="7">
        <f t="shared" si="13"/>
        <v>0</v>
      </c>
      <c r="BB44" s="7">
        <f t="shared" si="13"/>
        <v>79</v>
      </c>
      <c r="BC44" s="7">
        <f t="shared" si="13"/>
        <v>0</v>
      </c>
      <c r="BD44" s="7">
        <f t="shared" si="13"/>
        <v>0</v>
      </c>
      <c r="BE44" s="7">
        <f t="shared" si="13"/>
        <v>0</v>
      </c>
      <c r="BF44" s="7">
        <f t="shared" si="13"/>
        <v>0</v>
      </c>
      <c r="BG44" s="7">
        <f t="shared" si="13"/>
        <v>0</v>
      </c>
      <c r="BH44" s="7">
        <f t="shared" si="13"/>
        <v>0</v>
      </c>
      <c r="BI44" s="420">
        <f t="shared" si="12"/>
        <v>79</v>
      </c>
    </row>
    <row r="45" spans="1:61">
      <c r="A45" s="1" t="s">
        <v>659</v>
      </c>
      <c r="B45" s="4">
        <v>15056860</v>
      </c>
      <c r="C45" s="1" t="s">
        <v>565</v>
      </c>
      <c r="D45" s="1" t="s">
        <v>565</v>
      </c>
      <c r="E45" s="338">
        <v>36465</v>
      </c>
      <c r="G45" s="1" t="s">
        <v>767</v>
      </c>
      <c r="H45" s="7">
        <v>56</v>
      </c>
      <c r="I45" s="7">
        <v>0</v>
      </c>
      <c r="J45" s="1" t="s">
        <v>748</v>
      </c>
      <c r="K45" s="1" t="s">
        <v>438</v>
      </c>
      <c r="L45" s="1" t="s">
        <v>745</v>
      </c>
      <c r="M45" s="333" t="s">
        <v>744</v>
      </c>
      <c r="N45" s="332">
        <v>40505</v>
      </c>
      <c r="O45" s="181">
        <v>7982.51</v>
      </c>
      <c r="P45" s="184">
        <v>6544.47</v>
      </c>
      <c r="Q45" s="229">
        <v>6299.17</v>
      </c>
      <c r="R45" s="192">
        <v>8829.3799999999992</v>
      </c>
      <c r="S45" s="195">
        <v>4630.79</v>
      </c>
      <c r="T45" s="238">
        <v>4147.76</v>
      </c>
      <c r="U45" s="347">
        <v>3671.54</v>
      </c>
      <c r="V45" s="212">
        <v>3755.23</v>
      </c>
      <c r="W45" s="217">
        <v>4131.97</v>
      </c>
      <c r="X45" s="220">
        <v>1434.5</v>
      </c>
      <c r="Y45" s="304">
        <v>1704.47</v>
      </c>
      <c r="Z45" s="172">
        <v>3345.67</v>
      </c>
      <c r="AA45" s="312">
        <f t="shared" si="6"/>
        <v>18043.38</v>
      </c>
      <c r="AB45" s="384">
        <f>SUM(O45:Z45)</f>
        <v>56477.460000000006</v>
      </c>
      <c r="AD45" s="9">
        <f t="shared" si="14"/>
        <v>0</v>
      </c>
      <c r="AE45" s="9">
        <f t="shared" si="14"/>
        <v>0</v>
      </c>
      <c r="AF45" s="9">
        <f t="shared" si="14"/>
        <v>0</v>
      </c>
      <c r="AG45" s="9">
        <f t="shared" si="14"/>
        <v>0</v>
      </c>
      <c r="AH45" s="9">
        <f t="shared" si="14"/>
        <v>0</v>
      </c>
      <c r="AI45" s="9">
        <f t="shared" si="14"/>
        <v>0</v>
      </c>
      <c r="AJ45" s="9">
        <f t="shared" si="14"/>
        <v>0</v>
      </c>
      <c r="AK45" s="9">
        <f t="shared" si="14"/>
        <v>0</v>
      </c>
      <c r="AL45" s="9">
        <f t="shared" si="14"/>
        <v>0</v>
      </c>
      <c r="AM45" s="9">
        <f t="shared" si="14"/>
        <v>0</v>
      </c>
      <c r="AN45" s="9">
        <f t="shared" si="14"/>
        <v>0</v>
      </c>
      <c r="AO45" s="9">
        <f t="shared" si="14"/>
        <v>18043.38</v>
      </c>
      <c r="AP45" s="9">
        <f t="shared" si="14"/>
        <v>0</v>
      </c>
      <c r="AQ45" s="9">
        <f t="shared" si="14"/>
        <v>0</v>
      </c>
      <c r="AR45" s="9">
        <f t="shared" si="14"/>
        <v>0</v>
      </c>
      <c r="AS45" s="9">
        <f t="shared" si="14"/>
        <v>0</v>
      </c>
      <c r="AT45" s="365">
        <f t="shared" si="15"/>
        <v>18043.38</v>
      </c>
      <c r="AU45" s="416"/>
      <c r="AV45" s="7">
        <f t="shared" si="13"/>
        <v>0</v>
      </c>
      <c r="AW45" s="7">
        <f t="shared" si="13"/>
        <v>0</v>
      </c>
      <c r="AX45" s="7">
        <f t="shared" si="13"/>
        <v>0</v>
      </c>
      <c r="AY45" s="7">
        <f t="shared" si="13"/>
        <v>0</v>
      </c>
      <c r="AZ45" s="7">
        <f t="shared" si="13"/>
        <v>0</v>
      </c>
      <c r="BA45" s="7">
        <f t="shared" si="13"/>
        <v>0</v>
      </c>
      <c r="BB45" s="7">
        <f t="shared" si="13"/>
        <v>0</v>
      </c>
      <c r="BC45" s="7">
        <f t="shared" si="13"/>
        <v>0</v>
      </c>
      <c r="BD45" s="7">
        <f t="shared" si="13"/>
        <v>0</v>
      </c>
      <c r="BE45" s="7">
        <f t="shared" si="13"/>
        <v>0</v>
      </c>
      <c r="BF45" s="7">
        <f t="shared" si="13"/>
        <v>56</v>
      </c>
      <c r="BG45" s="7">
        <f t="shared" si="13"/>
        <v>0</v>
      </c>
      <c r="BH45" s="7">
        <f t="shared" si="13"/>
        <v>0</v>
      </c>
      <c r="BI45" s="420">
        <f t="shared" si="12"/>
        <v>56</v>
      </c>
    </row>
    <row r="46" spans="1:61">
      <c r="A46" s="1" t="s">
        <v>659</v>
      </c>
      <c r="B46" s="4">
        <v>15007588</v>
      </c>
      <c r="C46" s="1" t="s">
        <v>620</v>
      </c>
      <c r="D46" s="1" t="s">
        <v>667</v>
      </c>
      <c r="E46" s="338">
        <v>32295</v>
      </c>
      <c r="G46" s="1" t="s">
        <v>816</v>
      </c>
      <c r="H46" s="7">
        <v>125</v>
      </c>
      <c r="I46" s="7">
        <v>1</v>
      </c>
      <c r="J46" s="1" t="s">
        <v>751</v>
      </c>
      <c r="K46" s="1" t="s">
        <v>815</v>
      </c>
      <c r="L46" s="1" t="s">
        <v>745</v>
      </c>
      <c r="M46" s="333" t="s">
        <v>744</v>
      </c>
      <c r="N46" s="332">
        <v>40505</v>
      </c>
      <c r="O46" s="181">
        <v>14377.54</v>
      </c>
      <c r="P46" s="184">
        <v>16184.48</v>
      </c>
      <c r="Q46" s="229">
        <v>20299.88</v>
      </c>
      <c r="R46" s="192">
        <v>30673.46</v>
      </c>
      <c r="S46" s="195">
        <v>17100.650000000001</v>
      </c>
      <c r="T46" s="238">
        <v>12745.62</v>
      </c>
      <c r="U46" s="347">
        <v>1458.12</v>
      </c>
      <c r="V46" s="238">
        <v>14139.05</v>
      </c>
      <c r="W46" s="238">
        <v>11674.31</v>
      </c>
      <c r="X46" s="220">
        <v>2449.3000000000002</v>
      </c>
      <c r="Y46" s="304">
        <v>3805.65</v>
      </c>
      <c r="Z46" s="172">
        <v>6628.6</v>
      </c>
      <c r="AA46" s="312">
        <f t="shared" si="6"/>
        <v>40155.029999999992</v>
      </c>
      <c r="AB46" s="384">
        <f>SUM(O46:Z46)</f>
        <v>151536.66</v>
      </c>
      <c r="AD46" s="9">
        <f t="shared" si="14"/>
        <v>0</v>
      </c>
      <c r="AE46" s="9">
        <f t="shared" si="14"/>
        <v>0</v>
      </c>
      <c r="AF46" s="9">
        <f t="shared" si="14"/>
        <v>0</v>
      </c>
      <c r="AG46" s="9">
        <f t="shared" si="14"/>
        <v>0</v>
      </c>
      <c r="AH46" s="9">
        <f t="shared" si="14"/>
        <v>0</v>
      </c>
      <c r="AI46" s="9">
        <f t="shared" si="14"/>
        <v>0</v>
      </c>
      <c r="AJ46" s="9">
        <f t="shared" si="14"/>
        <v>0</v>
      </c>
      <c r="AK46" s="9">
        <f t="shared" si="14"/>
        <v>0</v>
      </c>
      <c r="AL46" s="9">
        <f t="shared" si="14"/>
        <v>0</v>
      </c>
      <c r="AM46" s="9">
        <f t="shared" si="14"/>
        <v>0</v>
      </c>
      <c r="AN46" s="9">
        <f t="shared" si="14"/>
        <v>0</v>
      </c>
      <c r="AO46" s="9">
        <f t="shared" si="14"/>
        <v>40155.029999999992</v>
      </c>
      <c r="AP46" s="9">
        <f t="shared" si="14"/>
        <v>0</v>
      </c>
      <c r="AQ46" s="9">
        <f t="shared" si="14"/>
        <v>0</v>
      </c>
      <c r="AR46" s="9">
        <f t="shared" si="14"/>
        <v>0</v>
      </c>
      <c r="AS46" s="9">
        <f t="shared" si="14"/>
        <v>0</v>
      </c>
      <c r="AT46" s="365">
        <f t="shared" si="15"/>
        <v>40155.029999999992</v>
      </c>
      <c r="AU46" s="416"/>
      <c r="AV46" s="7">
        <f t="shared" si="13"/>
        <v>0</v>
      </c>
      <c r="AW46" s="7">
        <f t="shared" si="13"/>
        <v>0</v>
      </c>
      <c r="AX46" s="7">
        <f t="shared" si="13"/>
        <v>0</v>
      </c>
      <c r="AY46" s="7">
        <f t="shared" si="13"/>
        <v>0</v>
      </c>
      <c r="AZ46" s="7">
        <f t="shared" si="13"/>
        <v>0</v>
      </c>
      <c r="BA46" s="7">
        <f t="shared" si="13"/>
        <v>0</v>
      </c>
      <c r="BB46" s="7">
        <f t="shared" si="13"/>
        <v>0</v>
      </c>
      <c r="BC46" s="7">
        <f t="shared" si="13"/>
        <v>0</v>
      </c>
      <c r="BD46" s="7">
        <f t="shared" si="13"/>
        <v>0</v>
      </c>
      <c r="BE46" s="7">
        <f t="shared" si="13"/>
        <v>0</v>
      </c>
      <c r="BF46" s="7">
        <f t="shared" si="13"/>
        <v>125</v>
      </c>
      <c r="BG46" s="7">
        <f t="shared" si="13"/>
        <v>0</v>
      </c>
      <c r="BH46" s="7">
        <f t="shared" si="13"/>
        <v>0</v>
      </c>
      <c r="BI46" s="420">
        <f t="shared" si="12"/>
        <v>125</v>
      </c>
    </row>
    <row r="47" spans="1:61">
      <c r="A47" s="1" t="s">
        <v>658</v>
      </c>
      <c r="B47" s="4">
        <v>15034969</v>
      </c>
      <c r="C47" s="1" t="s">
        <v>732</v>
      </c>
      <c r="D47" s="1" t="s">
        <v>667</v>
      </c>
      <c r="E47" s="7">
        <v>2016</v>
      </c>
      <c r="G47" s="1" t="s">
        <v>771</v>
      </c>
      <c r="H47" s="7">
        <v>88</v>
      </c>
      <c r="I47" s="7">
        <v>1</v>
      </c>
      <c r="J47" s="1" t="s">
        <v>751</v>
      </c>
      <c r="K47" s="1" t="s">
        <v>772</v>
      </c>
      <c r="L47" s="1" t="s">
        <v>745</v>
      </c>
      <c r="M47" s="333" t="s">
        <v>744</v>
      </c>
      <c r="N47" s="332">
        <v>40503</v>
      </c>
      <c r="O47" s="181">
        <v>24052</v>
      </c>
      <c r="P47" s="184">
        <v>23308</v>
      </c>
      <c r="Q47" s="229">
        <v>21282</v>
      </c>
      <c r="R47" s="192">
        <v>28805</v>
      </c>
      <c r="S47" s="238">
        <v>18979</v>
      </c>
      <c r="T47" s="238">
        <v>11909</v>
      </c>
      <c r="U47" s="347">
        <v>14925</v>
      </c>
      <c r="V47" s="212">
        <v>17383.52</v>
      </c>
      <c r="W47" s="217">
        <v>9048.69</v>
      </c>
      <c r="X47" s="220">
        <v>2669.5</v>
      </c>
      <c r="Y47" s="304">
        <v>3055.83</v>
      </c>
      <c r="Z47" s="172">
        <v>7653.32</v>
      </c>
      <c r="AA47" s="312">
        <f t="shared" si="6"/>
        <v>54735.86</v>
      </c>
      <c r="AB47" s="384">
        <f>SUM(O47:Z47)</f>
        <v>183070.86</v>
      </c>
      <c r="AD47" s="9">
        <f t="shared" si="14"/>
        <v>0</v>
      </c>
      <c r="AE47" s="9">
        <f t="shared" si="14"/>
        <v>0</v>
      </c>
      <c r="AF47" s="9">
        <f t="shared" si="14"/>
        <v>0</v>
      </c>
      <c r="AG47" s="9">
        <f t="shared" si="14"/>
        <v>0</v>
      </c>
      <c r="AH47" s="9">
        <f t="shared" si="14"/>
        <v>0</v>
      </c>
      <c r="AI47" s="9">
        <f t="shared" si="14"/>
        <v>0</v>
      </c>
      <c r="AJ47" s="9">
        <f t="shared" si="14"/>
        <v>0</v>
      </c>
      <c r="AK47" s="9">
        <f t="shared" si="14"/>
        <v>0</v>
      </c>
      <c r="AL47" s="9">
        <f t="shared" si="14"/>
        <v>54735.86</v>
      </c>
      <c r="AM47" s="9">
        <f t="shared" si="14"/>
        <v>0</v>
      </c>
      <c r="AN47" s="9">
        <f t="shared" si="14"/>
        <v>0</v>
      </c>
      <c r="AO47" s="9">
        <f t="shared" si="14"/>
        <v>0</v>
      </c>
      <c r="AP47" s="9">
        <f t="shared" si="14"/>
        <v>0</v>
      </c>
      <c r="AQ47" s="9">
        <f t="shared" si="14"/>
        <v>0</v>
      </c>
      <c r="AR47" s="9">
        <f t="shared" si="14"/>
        <v>0</v>
      </c>
      <c r="AS47" s="9">
        <f t="shared" si="14"/>
        <v>0</v>
      </c>
      <c r="AT47" s="365">
        <f t="shared" si="15"/>
        <v>54735.86</v>
      </c>
      <c r="AU47" s="416"/>
      <c r="AV47" s="7">
        <f t="shared" si="13"/>
        <v>0</v>
      </c>
      <c r="AW47" s="7">
        <f t="shared" si="13"/>
        <v>0</v>
      </c>
      <c r="AX47" s="7">
        <f t="shared" si="13"/>
        <v>0</v>
      </c>
      <c r="AY47" s="7">
        <f t="shared" si="13"/>
        <v>0</v>
      </c>
      <c r="AZ47" s="7">
        <f t="shared" si="13"/>
        <v>0</v>
      </c>
      <c r="BA47" s="7">
        <f t="shared" si="13"/>
        <v>0</v>
      </c>
      <c r="BB47" s="7">
        <f t="shared" si="13"/>
        <v>0</v>
      </c>
      <c r="BC47" s="7">
        <f t="shared" si="13"/>
        <v>88</v>
      </c>
      <c r="BD47" s="7">
        <f t="shared" si="13"/>
        <v>0</v>
      </c>
      <c r="BE47" s="7">
        <f t="shared" si="13"/>
        <v>0</v>
      </c>
      <c r="BF47" s="7">
        <f t="shared" si="13"/>
        <v>0</v>
      </c>
      <c r="BG47" s="7">
        <f t="shared" si="13"/>
        <v>0</v>
      </c>
      <c r="BH47" s="7">
        <f t="shared" si="13"/>
        <v>0</v>
      </c>
      <c r="BI47" s="420">
        <f t="shared" si="12"/>
        <v>88</v>
      </c>
    </row>
    <row r="48" spans="1:61">
      <c r="A48" s="1" t="s">
        <v>970</v>
      </c>
      <c r="B48" s="4">
        <v>15053151</v>
      </c>
      <c r="C48" s="1" t="s">
        <v>714</v>
      </c>
      <c r="D48" s="1" t="s">
        <v>714</v>
      </c>
      <c r="O48" s="181">
        <v>273.64999999999998</v>
      </c>
      <c r="P48" s="184">
        <v>160.22999999999999</v>
      </c>
      <c r="Q48" s="229">
        <v>96.18</v>
      </c>
      <c r="R48" s="192">
        <v>246.74</v>
      </c>
      <c r="S48" s="195">
        <v>106.63</v>
      </c>
      <c r="T48" s="238">
        <v>73.56</v>
      </c>
      <c r="U48" s="347">
        <v>69.67</v>
      </c>
      <c r="V48" s="212">
        <v>596.63</v>
      </c>
      <c r="W48" s="217">
        <v>51.29</v>
      </c>
      <c r="X48" s="136"/>
      <c r="Y48" s="304">
        <v>128.28</v>
      </c>
      <c r="Z48" s="172">
        <v>35.729999999999997</v>
      </c>
      <c r="AA48" s="312">
        <f t="shared" si="6"/>
        <v>881.59999999999991</v>
      </c>
      <c r="AB48" s="392">
        <f>SUM(O48:Z48)</f>
        <v>1838.59</v>
      </c>
      <c r="AD48" s="9">
        <f t="shared" si="14"/>
        <v>0</v>
      </c>
      <c r="AE48" s="9">
        <f t="shared" si="14"/>
        <v>0</v>
      </c>
      <c r="AF48" s="9">
        <f t="shared" si="14"/>
        <v>0</v>
      </c>
      <c r="AG48" s="9">
        <f t="shared" si="14"/>
        <v>0</v>
      </c>
      <c r="AH48" s="9">
        <f t="shared" si="14"/>
        <v>0</v>
      </c>
      <c r="AI48" s="9">
        <f t="shared" si="14"/>
        <v>0</v>
      </c>
      <c r="AJ48" s="9">
        <f t="shared" si="14"/>
        <v>0</v>
      </c>
      <c r="AK48" s="9">
        <f t="shared" si="14"/>
        <v>0</v>
      </c>
      <c r="AL48" s="9">
        <f t="shared" si="14"/>
        <v>0</v>
      </c>
      <c r="AM48" s="9">
        <f t="shared" si="14"/>
        <v>0</v>
      </c>
      <c r="AN48" s="9">
        <f t="shared" si="14"/>
        <v>0</v>
      </c>
      <c r="AO48" s="9">
        <f t="shared" si="14"/>
        <v>0</v>
      </c>
      <c r="AP48" s="9">
        <f t="shared" si="14"/>
        <v>0</v>
      </c>
      <c r="AQ48" s="9">
        <f t="shared" si="14"/>
        <v>0</v>
      </c>
      <c r="AR48" s="9">
        <f t="shared" si="14"/>
        <v>881.59999999999991</v>
      </c>
      <c r="AS48" s="9">
        <f t="shared" si="14"/>
        <v>0</v>
      </c>
      <c r="AT48" s="365">
        <f t="shared" si="15"/>
        <v>881.59999999999991</v>
      </c>
      <c r="AU48" s="416"/>
      <c r="AV48" s="7">
        <f t="shared" si="13"/>
        <v>0</v>
      </c>
      <c r="AW48" s="7">
        <f t="shared" si="13"/>
        <v>0</v>
      </c>
      <c r="AX48" s="7">
        <f t="shared" si="13"/>
        <v>0</v>
      </c>
      <c r="AY48" s="7">
        <f t="shared" si="13"/>
        <v>0</v>
      </c>
      <c r="AZ48" s="7">
        <f t="shared" si="13"/>
        <v>0</v>
      </c>
      <c r="BA48" s="7">
        <f t="shared" si="13"/>
        <v>0</v>
      </c>
      <c r="BB48" s="7">
        <f t="shared" si="13"/>
        <v>0</v>
      </c>
      <c r="BC48" s="7">
        <f t="shared" si="13"/>
        <v>0</v>
      </c>
      <c r="BD48" s="7">
        <f t="shared" ref="AW48:BH66" si="17">+IF($A48=BD$2,$H48,0)</f>
        <v>0</v>
      </c>
      <c r="BE48" s="7">
        <f t="shared" si="17"/>
        <v>0</v>
      </c>
      <c r="BF48" s="7">
        <f t="shared" si="17"/>
        <v>0</v>
      </c>
      <c r="BG48" s="7">
        <f t="shared" si="17"/>
        <v>0</v>
      </c>
      <c r="BH48" s="7">
        <f t="shared" si="17"/>
        <v>0</v>
      </c>
      <c r="BI48" s="420">
        <f t="shared" si="12"/>
        <v>0</v>
      </c>
    </row>
    <row r="49" spans="1:61">
      <c r="A49" s="1" t="s">
        <v>531</v>
      </c>
      <c r="B49" s="4">
        <v>7003500</v>
      </c>
      <c r="C49" s="1" t="s">
        <v>350</v>
      </c>
      <c r="D49" s="1" t="s">
        <v>350</v>
      </c>
      <c r="E49" s="7">
        <v>1982</v>
      </c>
      <c r="F49" s="7">
        <v>136</v>
      </c>
      <c r="G49" s="1" t="s">
        <v>769</v>
      </c>
      <c r="H49" s="7">
        <v>366</v>
      </c>
      <c r="I49" s="7">
        <v>20</v>
      </c>
      <c r="J49" s="1" t="s">
        <v>751</v>
      </c>
      <c r="K49" s="1" t="s">
        <v>770</v>
      </c>
      <c r="L49" s="1" t="s">
        <v>745</v>
      </c>
      <c r="M49" s="333" t="s">
        <v>744</v>
      </c>
      <c r="N49" s="332">
        <v>40507</v>
      </c>
      <c r="O49" s="181">
        <v>97051.9</v>
      </c>
      <c r="P49" s="184">
        <v>91108.87</v>
      </c>
      <c r="Q49" s="229">
        <v>101096.33</v>
      </c>
      <c r="R49" s="192">
        <v>138594.37</v>
      </c>
      <c r="S49" s="195">
        <v>83098.64</v>
      </c>
      <c r="T49" s="238">
        <v>51185.05</v>
      </c>
      <c r="U49" s="347">
        <v>44678.13</v>
      </c>
      <c r="V49" s="212">
        <v>66048.149999999994</v>
      </c>
      <c r="W49" s="217">
        <v>23561.919999999998</v>
      </c>
      <c r="X49" s="220">
        <v>1396.81</v>
      </c>
      <c r="Y49" s="304">
        <v>3177.05</v>
      </c>
      <c r="Z49" s="172">
        <v>7541.03</v>
      </c>
      <c r="AA49" s="312">
        <f t="shared" si="6"/>
        <v>146403.09</v>
      </c>
      <c r="AB49" s="390">
        <f t="shared" ref="AB49:AB56" si="18">SUM(O49:Z49)</f>
        <v>708538.25000000023</v>
      </c>
      <c r="AD49" s="9">
        <f t="shared" si="14"/>
        <v>0</v>
      </c>
      <c r="AE49" s="9">
        <f t="shared" si="14"/>
        <v>0</v>
      </c>
      <c r="AF49" s="9">
        <f t="shared" si="14"/>
        <v>0</v>
      </c>
      <c r="AG49" s="9">
        <f t="shared" si="14"/>
        <v>146403.09</v>
      </c>
      <c r="AH49" s="9">
        <f t="shared" si="14"/>
        <v>0</v>
      </c>
      <c r="AI49" s="9">
        <f t="shared" si="14"/>
        <v>0</v>
      </c>
      <c r="AJ49" s="9">
        <f t="shared" si="14"/>
        <v>0</v>
      </c>
      <c r="AK49" s="9">
        <f t="shared" si="14"/>
        <v>0</v>
      </c>
      <c r="AL49" s="9">
        <f t="shared" si="14"/>
        <v>0</v>
      </c>
      <c r="AM49" s="9">
        <f t="shared" si="14"/>
        <v>0</v>
      </c>
      <c r="AN49" s="9">
        <f t="shared" si="14"/>
        <v>0</v>
      </c>
      <c r="AO49" s="9">
        <f t="shared" si="14"/>
        <v>0</v>
      </c>
      <c r="AP49" s="9">
        <f t="shared" si="14"/>
        <v>0</v>
      </c>
      <c r="AQ49" s="9">
        <f t="shared" si="14"/>
        <v>0</v>
      </c>
      <c r="AR49" s="9">
        <f t="shared" si="14"/>
        <v>0</v>
      </c>
      <c r="AS49" s="9">
        <f t="shared" ref="AE49:AS66" si="19">+IF($A49=AS$2,SUM($U49:$Z49),0)</f>
        <v>0</v>
      </c>
      <c r="AT49" s="365">
        <f t="shared" si="15"/>
        <v>146403.09</v>
      </c>
      <c r="AU49" s="416"/>
      <c r="AV49" s="7">
        <f t="shared" ref="AV49:AV102" si="20">+IF($A49=AV$2,$H49,0)</f>
        <v>0</v>
      </c>
      <c r="AW49" s="7">
        <f t="shared" si="17"/>
        <v>0</v>
      </c>
      <c r="AX49" s="7">
        <f t="shared" si="17"/>
        <v>0</v>
      </c>
      <c r="AY49" s="7">
        <f t="shared" si="17"/>
        <v>366</v>
      </c>
      <c r="AZ49" s="7">
        <f t="shared" si="17"/>
        <v>0</v>
      </c>
      <c r="BA49" s="7">
        <f t="shared" si="17"/>
        <v>0</v>
      </c>
      <c r="BB49" s="7">
        <f t="shared" si="17"/>
        <v>0</v>
      </c>
      <c r="BC49" s="7">
        <f t="shared" si="17"/>
        <v>0</v>
      </c>
      <c r="BD49" s="7">
        <f t="shared" si="17"/>
        <v>0</v>
      </c>
      <c r="BE49" s="7">
        <f t="shared" si="17"/>
        <v>0</v>
      </c>
      <c r="BF49" s="7">
        <f t="shared" si="17"/>
        <v>0</v>
      </c>
      <c r="BG49" s="7">
        <f t="shared" si="17"/>
        <v>0</v>
      </c>
      <c r="BH49" s="7">
        <f t="shared" si="17"/>
        <v>0</v>
      </c>
      <c r="BI49" s="420">
        <f t="shared" si="12"/>
        <v>366</v>
      </c>
    </row>
    <row r="50" spans="1:61">
      <c r="A50" s="1" t="s">
        <v>530</v>
      </c>
      <c r="B50" s="4">
        <v>15031776</v>
      </c>
      <c r="C50" s="1" t="s">
        <v>517</v>
      </c>
      <c r="D50" s="1" t="s">
        <v>247</v>
      </c>
      <c r="E50" s="338">
        <v>36251</v>
      </c>
      <c r="G50" s="1" t="s">
        <v>799</v>
      </c>
      <c r="H50" s="7">
        <v>100</v>
      </c>
      <c r="I50" s="7">
        <v>1</v>
      </c>
      <c r="J50" s="1" t="s">
        <v>751</v>
      </c>
      <c r="K50" s="1" t="s">
        <v>420</v>
      </c>
      <c r="L50" s="1" t="s">
        <v>745</v>
      </c>
      <c r="M50" s="333" t="s">
        <v>744</v>
      </c>
      <c r="N50" s="332">
        <v>40509</v>
      </c>
      <c r="O50" s="181">
        <v>21065.53</v>
      </c>
      <c r="P50" s="184">
        <v>18745.080000000002</v>
      </c>
      <c r="Q50" s="229">
        <v>19088.27</v>
      </c>
      <c r="R50" s="192">
        <v>30455.95</v>
      </c>
      <c r="S50" s="195">
        <v>17040.89</v>
      </c>
      <c r="T50" s="347">
        <v>11171.58</v>
      </c>
      <c r="U50" s="347">
        <v>12186.26</v>
      </c>
      <c r="V50" s="212">
        <v>15049.17</v>
      </c>
      <c r="W50" s="217">
        <v>9440.0300000000007</v>
      </c>
      <c r="X50" s="220">
        <v>1405.24</v>
      </c>
      <c r="Y50" s="304">
        <v>2877.86</v>
      </c>
      <c r="Z50" s="172">
        <v>6140.27</v>
      </c>
      <c r="AA50" s="312">
        <f t="shared" si="6"/>
        <v>47098.83</v>
      </c>
      <c r="AB50" s="395">
        <f t="shared" si="18"/>
        <v>164666.12999999998</v>
      </c>
      <c r="AD50" s="9">
        <f t="shared" ref="AD50:AD113" si="21">+IF($A50=AD$2,SUM($U50:$Z50),0)</f>
        <v>0</v>
      </c>
      <c r="AE50" s="9">
        <f t="shared" si="19"/>
        <v>0</v>
      </c>
      <c r="AF50" s="9">
        <f t="shared" si="19"/>
        <v>0</v>
      </c>
      <c r="AG50" s="9">
        <f t="shared" si="19"/>
        <v>0</v>
      </c>
      <c r="AH50" s="9">
        <f t="shared" si="19"/>
        <v>0</v>
      </c>
      <c r="AI50" s="9">
        <f t="shared" si="19"/>
        <v>47098.83</v>
      </c>
      <c r="AJ50" s="9">
        <f t="shared" si="19"/>
        <v>0</v>
      </c>
      <c r="AK50" s="9">
        <f t="shared" si="19"/>
        <v>0</v>
      </c>
      <c r="AL50" s="9">
        <f t="shared" si="19"/>
        <v>0</v>
      </c>
      <c r="AM50" s="9">
        <f t="shared" si="19"/>
        <v>0</v>
      </c>
      <c r="AN50" s="9">
        <f t="shared" si="19"/>
        <v>0</v>
      </c>
      <c r="AO50" s="9">
        <f t="shared" si="19"/>
        <v>0</v>
      </c>
      <c r="AP50" s="9">
        <f t="shared" si="19"/>
        <v>0</v>
      </c>
      <c r="AQ50" s="9">
        <f t="shared" si="19"/>
        <v>0</v>
      </c>
      <c r="AR50" s="9">
        <f t="shared" si="19"/>
        <v>0</v>
      </c>
      <c r="AS50" s="9">
        <f t="shared" si="19"/>
        <v>0</v>
      </c>
      <c r="AT50" s="365">
        <f t="shared" si="15"/>
        <v>47098.83</v>
      </c>
      <c r="AU50" s="416"/>
      <c r="AV50" s="7">
        <f t="shared" si="20"/>
        <v>0</v>
      </c>
      <c r="AW50" s="7">
        <f t="shared" si="17"/>
        <v>0</v>
      </c>
      <c r="AX50" s="7">
        <f t="shared" si="17"/>
        <v>0</v>
      </c>
      <c r="AY50" s="7">
        <f t="shared" si="17"/>
        <v>0</v>
      </c>
      <c r="AZ50" s="7">
        <f t="shared" si="17"/>
        <v>100</v>
      </c>
      <c r="BA50" s="7">
        <f t="shared" si="17"/>
        <v>0</v>
      </c>
      <c r="BB50" s="7">
        <f t="shared" si="17"/>
        <v>0</v>
      </c>
      <c r="BC50" s="7">
        <f t="shared" si="17"/>
        <v>0</v>
      </c>
      <c r="BD50" s="7">
        <f t="shared" si="17"/>
        <v>0</v>
      </c>
      <c r="BE50" s="7">
        <f t="shared" si="17"/>
        <v>0</v>
      </c>
      <c r="BF50" s="7">
        <f t="shared" si="17"/>
        <v>0</v>
      </c>
      <c r="BG50" s="7">
        <f t="shared" si="17"/>
        <v>0</v>
      </c>
      <c r="BH50" s="7">
        <f t="shared" si="17"/>
        <v>0</v>
      </c>
      <c r="BI50" s="420">
        <f t="shared" si="12"/>
        <v>100</v>
      </c>
    </row>
    <row r="51" spans="1:61">
      <c r="A51" s="1" t="s">
        <v>658</v>
      </c>
      <c r="B51" s="4">
        <v>15054166</v>
      </c>
      <c r="C51" s="1" t="s">
        <v>671</v>
      </c>
      <c r="D51" s="1" t="s">
        <v>947</v>
      </c>
      <c r="E51" s="338">
        <v>31990</v>
      </c>
      <c r="G51" s="1" t="s">
        <v>768</v>
      </c>
      <c r="H51" s="7">
        <v>174</v>
      </c>
      <c r="I51" s="7">
        <v>4</v>
      </c>
      <c r="J51" s="1" t="s">
        <v>751</v>
      </c>
      <c r="K51" s="1" t="s">
        <v>421</v>
      </c>
      <c r="L51" s="1" t="s">
        <v>745</v>
      </c>
      <c r="M51" s="333" t="s">
        <v>744</v>
      </c>
      <c r="N51" s="332">
        <v>40503</v>
      </c>
      <c r="O51" s="181">
        <v>55930.89</v>
      </c>
      <c r="P51" s="184">
        <v>50552.71</v>
      </c>
      <c r="Q51" s="229">
        <v>53223.040000000001</v>
      </c>
      <c r="R51" s="192">
        <v>66150.92</v>
      </c>
      <c r="S51" s="195">
        <v>45456</v>
      </c>
      <c r="T51" s="238">
        <v>36403.89</v>
      </c>
      <c r="U51" s="347">
        <v>35332.15</v>
      </c>
      <c r="V51" s="212">
        <v>41270.660000000003</v>
      </c>
      <c r="W51" s="217">
        <v>21983.42</v>
      </c>
      <c r="X51" s="220">
        <v>2543.39</v>
      </c>
      <c r="Y51" s="318">
        <v>6033.93</v>
      </c>
      <c r="Z51" s="172">
        <v>12991.57</v>
      </c>
      <c r="AA51" s="312">
        <f t="shared" si="6"/>
        <v>120155.12</v>
      </c>
      <c r="AB51" s="384">
        <f t="shared" si="18"/>
        <v>427872.57</v>
      </c>
      <c r="AD51" s="9">
        <f t="shared" si="21"/>
        <v>0</v>
      </c>
      <c r="AE51" s="9">
        <f t="shared" si="19"/>
        <v>0</v>
      </c>
      <c r="AF51" s="9">
        <f t="shared" si="19"/>
        <v>0</v>
      </c>
      <c r="AG51" s="9">
        <f t="shared" si="19"/>
        <v>0</v>
      </c>
      <c r="AH51" s="9">
        <f t="shared" si="19"/>
        <v>0</v>
      </c>
      <c r="AI51" s="9">
        <f t="shared" si="19"/>
        <v>0</v>
      </c>
      <c r="AJ51" s="9">
        <f t="shared" si="19"/>
        <v>0</v>
      </c>
      <c r="AK51" s="9">
        <f t="shared" si="19"/>
        <v>0</v>
      </c>
      <c r="AL51" s="9">
        <f t="shared" si="19"/>
        <v>120155.12</v>
      </c>
      <c r="AM51" s="9">
        <f t="shared" si="19"/>
        <v>0</v>
      </c>
      <c r="AN51" s="9">
        <f t="shared" si="19"/>
        <v>0</v>
      </c>
      <c r="AO51" s="9">
        <f t="shared" si="19"/>
        <v>0</v>
      </c>
      <c r="AP51" s="9">
        <f t="shared" si="19"/>
        <v>0</v>
      </c>
      <c r="AQ51" s="9">
        <f t="shared" si="19"/>
        <v>0</v>
      </c>
      <c r="AR51" s="9">
        <f t="shared" si="19"/>
        <v>0</v>
      </c>
      <c r="AS51" s="9">
        <f t="shared" si="19"/>
        <v>0</v>
      </c>
      <c r="AT51" s="365">
        <f t="shared" si="15"/>
        <v>120155.12</v>
      </c>
      <c r="AU51" s="416"/>
      <c r="AV51" s="7">
        <f t="shared" si="20"/>
        <v>0</v>
      </c>
      <c r="AW51" s="7">
        <f t="shared" si="17"/>
        <v>0</v>
      </c>
      <c r="AX51" s="7">
        <f t="shared" si="17"/>
        <v>0</v>
      </c>
      <c r="AY51" s="7">
        <f t="shared" si="17"/>
        <v>0</v>
      </c>
      <c r="AZ51" s="7">
        <f t="shared" si="17"/>
        <v>0</v>
      </c>
      <c r="BA51" s="7">
        <f t="shared" si="17"/>
        <v>0</v>
      </c>
      <c r="BB51" s="7">
        <f t="shared" si="17"/>
        <v>0</v>
      </c>
      <c r="BC51" s="7">
        <f t="shared" si="17"/>
        <v>174</v>
      </c>
      <c r="BD51" s="7">
        <f t="shared" si="17"/>
        <v>0</v>
      </c>
      <c r="BE51" s="7">
        <f t="shared" si="17"/>
        <v>0</v>
      </c>
      <c r="BF51" s="7">
        <f t="shared" si="17"/>
        <v>0</v>
      </c>
      <c r="BG51" s="7">
        <f t="shared" si="17"/>
        <v>0</v>
      </c>
      <c r="BH51" s="7">
        <f t="shared" si="17"/>
        <v>0</v>
      </c>
      <c r="BI51" s="420">
        <f t="shared" si="12"/>
        <v>174</v>
      </c>
    </row>
    <row r="52" spans="1:61">
      <c r="A52" s="1" t="s">
        <v>705</v>
      </c>
      <c r="B52" s="4">
        <v>15006999</v>
      </c>
      <c r="C52" s="1" t="s">
        <v>527</v>
      </c>
      <c r="D52" s="1" t="s">
        <v>622</v>
      </c>
      <c r="E52" s="338">
        <v>39630</v>
      </c>
      <c r="G52" s="1" t="s">
        <v>803</v>
      </c>
      <c r="H52" s="7">
        <v>78</v>
      </c>
      <c r="I52" s="7">
        <v>2</v>
      </c>
      <c r="J52" s="1" t="s">
        <v>753</v>
      </c>
      <c r="K52" s="1" t="s">
        <v>399</v>
      </c>
      <c r="L52" s="1" t="s">
        <v>745</v>
      </c>
      <c r="M52" s="333" t="s">
        <v>744</v>
      </c>
      <c r="N52" s="332">
        <v>40511</v>
      </c>
      <c r="O52" s="181">
        <v>19174.12</v>
      </c>
      <c r="P52" s="184">
        <v>20181.259999999998</v>
      </c>
      <c r="Q52" s="229">
        <v>19904.23</v>
      </c>
      <c r="R52" s="192">
        <v>26236.15</v>
      </c>
      <c r="S52" s="195">
        <v>16900</v>
      </c>
      <c r="T52" s="238">
        <v>12554.11</v>
      </c>
      <c r="U52" s="347">
        <v>13182.55</v>
      </c>
      <c r="V52" s="212">
        <v>16511.32</v>
      </c>
      <c r="W52" s="217">
        <v>9657.75</v>
      </c>
      <c r="X52" s="220">
        <v>2720.33</v>
      </c>
      <c r="Y52" s="304">
        <v>4170.32</v>
      </c>
      <c r="Z52" s="172">
        <v>7359.91</v>
      </c>
      <c r="AA52" s="312">
        <f t="shared" si="6"/>
        <v>53602.179999999993</v>
      </c>
      <c r="AB52" s="392">
        <f t="shared" si="18"/>
        <v>168552.05000000002</v>
      </c>
      <c r="AD52" s="9">
        <f t="shared" si="21"/>
        <v>0</v>
      </c>
      <c r="AE52" s="9">
        <f t="shared" si="19"/>
        <v>0</v>
      </c>
      <c r="AF52" s="9">
        <f t="shared" si="19"/>
        <v>0</v>
      </c>
      <c r="AG52" s="9">
        <f t="shared" si="19"/>
        <v>0</v>
      </c>
      <c r="AH52" s="9">
        <f t="shared" si="19"/>
        <v>0</v>
      </c>
      <c r="AI52" s="9">
        <f t="shared" si="19"/>
        <v>0</v>
      </c>
      <c r="AJ52" s="9">
        <f t="shared" si="19"/>
        <v>0</v>
      </c>
      <c r="AK52" s="9">
        <f t="shared" si="19"/>
        <v>0</v>
      </c>
      <c r="AL52" s="9">
        <f t="shared" si="19"/>
        <v>0</v>
      </c>
      <c r="AM52" s="9">
        <f t="shared" si="19"/>
        <v>0</v>
      </c>
      <c r="AN52" s="9">
        <f t="shared" si="19"/>
        <v>0</v>
      </c>
      <c r="AO52" s="9">
        <f t="shared" si="19"/>
        <v>0</v>
      </c>
      <c r="AP52" s="9">
        <f t="shared" si="19"/>
        <v>0</v>
      </c>
      <c r="AQ52" s="9">
        <f t="shared" si="19"/>
        <v>0</v>
      </c>
      <c r="AR52" s="9">
        <f t="shared" si="19"/>
        <v>0</v>
      </c>
      <c r="AS52" s="9">
        <f t="shared" si="19"/>
        <v>53602.179999999993</v>
      </c>
      <c r="AT52" s="365">
        <f t="shared" si="15"/>
        <v>53602.179999999993</v>
      </c>
      <c r="AU52" s="416"/>
      <c r="AV52" s="7">
        <f t="shared" si="20"/>
        <v>0</v>
      </c>
      <c r="AW52" s="7">
        <f t="shared" si="17"/>
        <v>0</v>
      </c>
      <c r="AX52" s="7">
        <f t="shared" si="17"/>
        <v>0</v>
      </c>
      <c r="AY52" s="7">
        <f t="shared" si="17"/>
        <v>0</v>
      </c>
      <c r="AZ52" s="7">
        <f t="shared" si="17"/>
        <v>0</v>
      </c>
      <c r="BA52" s="7">
        <f t="shared" si="17"/>
        <v>0</v>
      </c>
      <c r="BB52" s="7">
        <f t="shared" si="17"/>
        <v>0</v>
      </c>
      <c r="BC52" s="7">
        <f t="shared" si="17"/>
        <v>0</v>
      </c>
      <c r="BD52" s="7">
        <f t="shared" si="17"/>
        <v>0</v>
      </c>
      <c r="BE52" s="7">
        <f t="shared" si="17"/>
        <v>0</v>
      </c>
      <c r="BF52" s="7">
        <f t="shared" si="17"/>
        <v>0</v>
      </c>
      <c r="BG52" s="7">
        <f t="shared" si="17"/>
        <v>0</v>
      </c>
      <c r="BH52" s="7">
        <f t="shared" si="17"/>
        <v>78</v>
      </c>
      <c r="BI52" s="420">
        <f t="shared" si="12"/>
        <v>78</v>
      </c>
    </row>
    <row r="53" spans="1:61">
      <c r="A53" s="1" t="s">
        <v>664</v>
      </c>
      <c r="B53" s="4">
        <v>7009500</v>
      </c>
      <c r="C53" s="1" t="s">
        <v>515</v>
      </c>
      <c r="D53" s="1" t="s">
        <v>515</v>
      </c>
      <c r="E53" s="338">
        <v>38322</v>
      </c>
      <c r="G53" s="1" t="s">
        <v>802</v>
      </c>
      <c r="H53" s="7">
        <v>96</v>
      </c>
      <c r="I53" s="7">
        <v>1</v>
      </c>
      <c r="J53" s="1" t="s">
        <v>753</v>
      </c>
      <c r="K53" s="1" t="s">
        <v>398</v>
      </c>
      <c r="L53" s="1" t="s">
        <v>745</v>
      </c>
      <c r="M53" s="333" t="s">
        <v>744</v>
      </c>
      <c r="N53" s="332">
        <v>40504</v>
      </c>
      <c r="O53" s="181">
        <v>24689.87</v>
      </c>
      <c r="P53" s="184">
        <v>26693.43</v>
      </c>
      <c r="Q53" s="229">
        <v>25284.39</v>
      </c>
      <c r="R53" s="192">
        <v>32525.62</v>
      </c>
      <c r="S53" s="195">
        <v>23179.27</v>
      </c>
      <c r="T53" s="238">
        <v>16674.59</v>
      </c>
      <c r="U53" s="347">
        <v>19473.580000000002</v>
      </c>
      <c r="V53" s="212">
        <v>21477.65</v>
      </c>
      <c r="W53" s="217">
        <v>13043.49</v>
      </c>
      <c r="X53" s="220">
        <v>2555.71</v>
      </c>
      <c r="Y53" s="304">
        <v>5207.6400000000003</v>
      </c>
      <c r="Z53" s="172">
        <v>8238.4699999999993</v>
      </c>
      <c r="AA53" s="312">
        <f t="shared" si="6"/>
        <v>69996.539999999994</v>
      </c>
      <c r="AB53" s="384">
        <f t="shared" si="18"/>
        <v>219043.71</v>
      </c>
      <c r="AD53" s="9">
        <f t="shared" si="21"/>
        <v>0</v>
      </c>
      <c r="AE53" s="9">
        <f t="shared" si="19"/>
        <v>0</v>
      </c>
      <c r="AF53" s="9">
        <f t="shared" si="19"/>
        <v>0</v>
      </c>
      <c r="AG53" s="9">
        <f t="shared" si="19"/>
        <v>0</v>
      </c>
      <c r="AH53" s="9">
        <f t="shared" si="19"/>
        <v>0</v>
      </c>
      <c r="AI53" s="9">
        <f t="shared" si="19"/>
        <v>0</v>
      </c>
      <c r="AJ53" s="9">
        <f t="shared" si="19"/>
        <v>0</v>
      </c>
      <c r="AK53" s="9">
        <f t="shared" si="19"/>
        <v>0</v>
      </c>
      <c r="AL53" s="9">
        <f t="shared" si="19"/>
        <v>0</v>
      </c>
      <c r="AM53" s="9">
        <f t="shared" si="19"/>
        <v>0</v>
      </c>
      <c r="AN53" s="9">
        <f t="shared" si="19"/>
        <v>0</v>
      </c>
      <c r="AO53" s="9">
        <f t="shared" si="19"/>
        <v>0</v>
      </c>
      <c r="AP53" s="9">
        <f t="shared" si="19"/>
        <v>69996.539999999994</v>
      </c>
      <c r="AQ53" s="9">
        <f t="shared" si="19"/>
        <v>0</v>
      </c>
      <c r="AR53" s="9">
        <f t="shared" si="19"/>
        <v>0</v>
      </c>
      <c r="AS53" s="9">
        <f t="shared" si="19"/>
        <v>0</v>
      </c>
      <c r="AT53" s="365">
        <f t="shared" si="15"/>
        <v>69996.539999999994</v>
      </c>
      <c r="AU53" s="416"/>
      <c r="AV53" s="7">
        <f t="shared" si="20"/>
        <v>0</v>
      </c>
      <c r="AW53" s="7">
        <f t="shared" si="17"/>
        <v>0</v>
      </c>
      <c r="AX53" s="7">
        <f t="shared" si="17"/>
        <v>0</v>
      </c>
      <c r="AY53" s="7">
        <f t="shared" si="17"/>
        <v>0</v>
      </c>
      <c r="AZ53" s="7">
        <f t="shared" si="17"/>
        <v>0</v>
      </c>
      <c r="BA53" s="7">
        <f t="shared" si="17"/>
        <v>0</v>
      </c>
      <c r="BB53" s="7">
        <f t="shared" si="17"/>
        <v>0</v>
      </c>
      <c r="BC53" s="7">
        <f t="shared" si="17"/>
        <v>0</v>
      </c>
      <c r="BD53" s="7">
        <f t="shared" si="17"/>
        <v>0</v>
      </c>
      <c r="BE53" s="7">
        <f t="shared" si="17"/>
        <v>0</v>
      </c>
      <c r="BF53" s="7">
        <f t="shared" si="17"/>
        <v>0</v>
      </c>
      <c r="BG53" s="7">
        <f t="shared" si="17"/>
        <v>96</v>
      </c>
      <c r="BH53" s="7">
        <f t="shared" si="17"/>
        <v>0</v>
      </c>
      <c r="BI53" s="420">
        <f t="shared" si="12"/>
        <v>96</v>
      </c>
    </row>
    <row r="54" spans="1:61">
      <c r="A54" s="1" t="s">
        <v>659</v>
      </c>
      <c r="B54" s="42">
        <v>15037963</v>
      </c>
      <c r="C54" s="11" t="s">
        <v>606</v>
      </c>
      <c r="D54" s="11" t="s">
        <v>605</v>
      </c>
      <c r="E54" s="7">
        <v>2015</v>
      </c>
      <c r="F54" s="340"/>
      <c r="G54" s="1" t="s">
        <v>801</v>
      </c>
      <c r="H54" s="7">
        <v>82</v>
      </c>
      <c r="I54" s="7">
        <v>1</v>
      </c>
      <c r="J54" s="1" t="s">
        <v>753</v>
      </c>
      <c r="K54" s="1" t="s">
        <v>800</v>
      </c>
      <c r="L54" s="1" t="s">
        <v>745</v>
      </c>
      <c r="M54" s="333" t="s">
        <v>744</v>
      </c>
      <c r="N54" s="332">
        <v>40505</v>
      </c>
      <c r="O54" s="181">
        <v>19230.900000000001</v>
      </c>
      <c r="P54" s="184">
        <v>15362.46</v>
      </c>
      <c r="Q54" s="229">
        <v>15622.35</v>
      </c>
      <c r="R54" s="192">
        <v>20707.7</v>
      </c>
      <c r="S54" s="195">
        <v>13599.73</v>
      </c>
      <c r="T54" s="238">
        <v>9912.7900000000009</v>
      </c>
      <c r="U54" s="347">
        <v>9741.1299999999992</v>
      </c>
      <c r="V54" s="212">
        <v>10682.83</v>
      </c>
      <c r="W54" s="220">
        <v>7948.09</v>
      </c>
      <c r="X54" s="220">
        <v>2937.09</v>
      </c>
      <c r="Y54" s="304">
        <v>3969.53</v>
      </c>
      <c r="Z54" s="172">
        <v>5877.65</v>
      </c>
      <c r="AA54" s="312">
        <f t="shared" si="6"/>
        <v>41156.32</v>
      </c>
      <c r="AB54" s="384">
        <f t="shared" si="18"/>
        <v>135592.25</v>
      </c>
      <c r="AD54" s="9">
        <f t="shared" si="21"/>
        <v>0</v>
      </c>
      <c r="AE54" s="9">
        <f t="shared" si="19"/>
        <v>0</v>
      </c>
      <c r="AF54" s="9">
        <f t="shared" si="19"/>
        <v>0</v>
      </c>
      <c r="AG54" s="9">
        <f t="shared" si="19"/>
        <v>0</v>
      </c>
      <c r="AH54" s="9">
        <f t="shared" si="19"/>
        <v>0</v>
      </c>
      <c r="AI54" s="9">
        <f t="shared" si="19"/>
        <v>0</v>
      </c>
      <c r="AJ54" s="9">
        <f t="shared" si="19"/>
        <v>0</v>
      </c>
      <c r="AK54" s="9">
        <f t="shared" si="19"/>
        <v>0</v>
      </c>
      <c r="AL54" s="9">
        <f t="shared" si="19"/>
        <v>0</v>
      </c>
      <c r="AM54" s="9">
        <f t="shared" si="19"/>
        <v>0</v>
      </c>
      <c r="AN54" s="9">
        <f t="shared" si="19"/>
        <v>0</v>
      </c>
      <c r="AO54" s="9">
        <f t="shared" si="19"/>
        <v>41156.32</v>
      </c>
      <c r="AP54" s="9">
        <f t="shared" si="19"/>
        <v>0</v>
      </c>
      <c r="AQ54" s="9">
        <f t="shared" si="19"/>
        <v>0</v>
      </c>
      <c r="AR54" s="9">
        <f t="shared" si="19"/>
        <v>0</v>
      </c>
      <c r="AS54" s="9">
        <f t="shared" si="19"/>
        <v>0</v>
      </c>
      <c r="AT54" s="365">
        <f t="shared" si="15"/>
        <v>41156.32</v>
      </c>
      <c r="AU54" s="416"/>
      <c r="AV54" s="7">
        <f t="shared" si="20"/>
        <v>0</v>
      </c>
      <c r="AW54" s="7">
        <f t="shared" si="17"/>
        <v>0</v>
      </c>
      <c r="AX54" s="7">
        <f t="shared" si="17"/>
        <v>0</v>
      </c>
      <c r="AY54" s="7">
        <f t="shared" si="17"/>
        <v>0</v>
      </c>
      <c r="AZ54" s="7">
        <f t="shared" si="17"/>
        <v>0</v>
      </c>
      <c r="BA54" s="7">
        <f t="shared" si="17"/>
        <v>0</v>
      </c>
      <c r="BB54" s="7">
        <f t="shared" si="17"/>
        <v>0</v>
      </c>
      <c r="BC54" s="7">
        <f t="shared" si="17"/>
        <v>0</v>
      </c>
      <c r="BD54" s="7">
        <f t="shared" si="17"/>
        <v>0</v>
      </c>
      <c r="BE54" s="7">
        <f t="shared" si="17"/>
        <v>0</v>
      </c>
      <c r="BF54" s="7">
        <f t="shared" si="17"/>
        <v>82</v>
      </c>
      <c r="BG54" s="7">
        <f t="shared" si="17"/>
        <v>0</v>
      </c>
      <c r="BH54" s="7">
        <f t="shared" si="17"/>
        <v>0</v>
      </c>
      <c r="BI54" s="420">
        <f t="shared" si="12"/>
        <v>82</v>
      </c>
    </row>
    <row r="55" spans="1:61">
      <c r="A55" s="1" t="s">
        <v>530</v>
      </c>
      <c r="B55" s="42">
        <v>15061297</v>
      </c>
      <c r="C55" s="11"/>
      <c r="D55" s="11" t="s">
        <v>854</v>
      </c>
      <c r="E55" s="7"/>
      <c r="F55" s="340"/>
      <c r="H55" s="7">
        <v>123</v>
      </c>
      <c r="I55" s="7"/>
      <c r="M55" s="333"/>
      <c r="N55" s="332"/>
      <c r="O55" s="181">
        <v>23667.5</v>
      </c>
      <c r="P55" s="184">
        <v>18910.740000000002</v>
      </c>
      <c r="Q55" s="229">
        <v>22564.19</v>
      </c>
      <c r="R55" s="192">
        <v>28131.17</v>
      </c>
      <c r="S55" s="195">
        <v>16471.38</v>
      </c>
      <c r="T55" s="238">
        <v>14186.6</v>
      </c>
      <c r="U55" s="347">
        <v>12105.26</v>
      </c>
      <c r="V55" s="217">
        <v>14285.59</v>
      </c>
      <c r="W55" s="217">
        <v>7971.8</v>
      </c>
      <c r="X55" s="220">
        <v>1625.43</v>
      </c>
      <c r="Y55" s="304">
        <v>4315.29</v>
      </c>
      <c r="Z55" s="172">
        <v>7932.88</v>
      </c>
      <c r="AA55" s="312">
        <f t="shared" si="6"/>
        <v>48236.25</v>
      </c>
      <c r="AB55" s="395">
        <f t="shared" si="18"/>
        <v>172167.83000000002</v>
      </c>
      <c r="AD55" s="9">
        <f t="shared" si="21"/>
        <v>0</v>
      </c>
      <c r="AE55" s="9">
        <f t="shared" si="19"/>
        <v>0</v>
      </c>
      <c r="AF55" s="9">
        <f t="shared" si="19"/>
        <v>0</v>
      </c>
      <c r="AG55" s="9">
        <f t="shared" si="19"/>
        <v>0</v>
      </c>
      <c r="AH55" s="9">
        <f t="shared" si="19"/>
        <v>0</v>
      </c>
      <c r="AI55" s="9">
        <f t="shared" si="19"/>
        <v>48236.25</v>
      </c>
      <c r="AJ55" s="9">
        <f t="shared" si="19"/>
        <v>0</v>
      </c>
      <c r="AK55" s="9">
        <f t="shared" si="19"/>
        <v>0</v>
      </c>
      <c r="AL55" s="9">
        <f t="shared" si="19"/>
        <v>0</v>
      </c>
      <c r="AM55" s="9">
        <f t="shared" si="19"/>
        <v>0</v>
      </c>
      <c r="AN55" s="9">
        <f t="shared" si="19"/>
        <v>0</v>
      </c>
      <c r="AO55" s="9">
        <f t="shared" si="19"/>
        <v>0</v>
      </c>
      <c r="AP55" s="9">
        <f t="shared" si="19"/>
        <v>0</v>
      </c>
      <c r="AQ55" s="9">
        <f t="shared" si="19"/>
        <v>0</v>
      </c>
      <c r="AR55" s="9">
        <f t="shared" si="19"/>
        <v>0</v>
      </c>
      <c r="AS55" s="9">
        <f t="shared" si="19"/>
        <v>0</v>
      </c>
      <c r="AT55" s="365">
        <f t="shared" si="15"/>
        <v>48236.25</v>
      </c>
      <c r="AU55" s="416"/>
      <c r="AV55" s="7">
        <f t="shared" si="20"/>
        <v>0</v>
      </c>
      <c r="AW55" s="7">
        <f t="shared" si="17"/>
        <v>0</v>
      </c>
      <c r="AX55" s="7">
        <f t="shared" si="17"/>
        <v>0</v>
      </c>
      <c r="AY55" s="7">
        <f t="shared" si="17"/>
        <v>0</v>
      </c>
      <c r="AZ55" s="7">
        <f t="shared" si="17"/>
        <v>123</v>
      </c>
      <c r="BA55" s="7">
        <f t="shared" si="17"/>
        <v>0</v>
      </c>
      <c r="BB55" s="7">
        <f t="shared" si="17"/>
        <v>0</v>
      </c>
      <c r="BC55" s="7">
        <f t="shared" si="17"/>
        <v>0</v>
      </c>
      <c r="BD55" s="7">
        <f t="shared" si="17"/>
        <v>0</v>
      </c>
      <c r="BE55" s="7">
        <f t="shared" si="17"/>
        <v>0</v>
      </c>
      <c r="BF55" s="7">
        <f t="shared" si="17"/>
        <v>0</v>
      </c>
      <c r="BG55" s="7">
        <f t="shared" si="17"/>
        <v>0</v>
      </c>
      <c r="BH55" s="7">
        <f t="shared" si="17"/>
        <v>0</v>
      </c>
      <c r="BI55" s="420">
        <f t="shared" si="12"/>
        <v>123</v>
      </c>
    </row>
    <row r="56" spans="1:61">
      <c r="A56" s="1" t="s">
        <v>658</v>
      </c>
      <c r="B56" s="4">
        <v>15058010</v>
      </c>
      <c r="C56" s="1" t="s">
        <v>715</v>
      </c>
      <c r="D56" s="1" t="s">
        <v>601</v>
      </c>
      <c r="E56" s="7">
        <v>2015</v>
      </c>
      <c r="F56" s="340"/>
      <c r="G56" s="1" t="s">
        <v>805</v>
      </c>
      <c r="H56" s="7">
        <v>103</v>
      </c>
      <c r="I56" s="7"/>
      <c r="J56" s="1" t="s">
        <v>751</v>
      </c>
      <c r="K56" s="1" t="s">
        <v>804</v>
      </c>
      <c r="L56" s="1" t="s">
        <v>745</v>
      </c>
      <c r="M56" s="333" t="s">
        <v>744</v>
      </c>
      <c r="N56" s="332">
        <v>40503</v>
      </c>
      <c r="O56" s="181">
        <v>26023.39</v>
      </c>
      <c r="P56" s="184">
        <v>27141.67</v>
      </c>
      <c r="Q56" s="229">
        <v>27323.87</v>
      </c>
      <c r="R56" s="192">
        <v>31549.9</v>
      </c>
      <c r="S56" s="195">
        <v>18401.46</v>
      </c>
      <c r="T56" s="238">
        <v>13701.91</v>
      </c>
      <c r="U56" s="347">
        <v>16451.16</v>
      </c>
      <c r="V56" s="212">
        <v>20709.599999999999</v>
      </c>
      <c r="W56" s="217">
        <v>12174.27</v>
      </c>
      <c r="X56" s="220">
        <v>4519.6499999999996</v>
      </c>
      <c r="Y56" s="304">
        <v>5903.73</v>
      </c>
      <c r="Z56" s="172">
        <v>11370.87</v>
      </c>
      <c r="AA56" s="312">
        <f t="shared" si="6"/>
        <v>71129.279999999999</v>
      </c>
      <c r="AB56" s="384">
        <f t="shared" si="18"/>
        <v>215271.47999999998</v>
      </c>
      <c r="AD56" s="9">
        <f t="shared" si="21"/>
        <v>0</v>
      </c>
      <c r="AE56" s="9">
        <f t="shared" si="19"/>
        <v>0</v>
      </c>
      <c r="AF56" s="9">
        <f t="shared" si="19"/>
        <v>0</v>
      </c>
      <c r="AG56" s="9">
        <f t="shared" si="19"/>
        <v>0</v>
      </c>
      <c r="AH56" s="9">
        <f t="shared" si="19"/>
        <v>0</v>
      </c>
      <c r="AI56" s="9">
        <f t="shared" si="19"/>
        <v>0</v>
      </c>
      <c r="AJ56" s="9">
        <f t="shared" si="19"/>
        <v>0</v>
      </c>
      <c r="AK56" s="9">
        <f t="shared" si="19"/>
        <v>0</v>
      </c>
      <c r="AL56" s="9">
        <f t="shared" si="19"/>
        <v>71129.279999999999</v>
      </c>
      <c r="AM56" s="9">
        <f t="shared" si="19"/>
        <v>0</v>
      </c>
      <c r="AN56" s="9">
        <f t="shared" si="19"/>
        <v>0</v>
      </c>
      <c r="AO56" s="9">
        <f t="shared" si="19"/>
        <v>0</v>
      </c>
      <c r="AP56" s="9">
        <f t="shared" si="19"/>
        <v>0</v>
      </c>
      <c r="AQ56" s="9">
        <f t="shared" si="19"/>
        <v>0</v>
      </c>
      <c r="AR56" s="9">
        <f t="shared" si="19"/>
        <v>0</v>
      </c>
      <c r="AS56" s="9">
        <f t="shared" si="19"/>
        <v>0</v>
      </c>
      <c r="AT56" s="365">
        <f t="shared" si="15"/>
        <v>71129.279999999999</v>
      </c>
      <c r="AU56" s="416"/>
      <c r="AV56" s="7">
        <f t="shared" si="20"/>
        <v>0</v>
      </c>
      <c r="AW56" s="7">
        <f t="shared" si="17"/>
        <v>0</v>
      </c>
      <c r="AX56" s="7">
        <f t="shared" si="17"/>
        <v>0</v>
      </c>
      <c r="AY56" s="7">
        <f t="shared" si="17"/>
        <v>0</v>
      </c>
      <c r="AZ56" s="7">
        <f t="shared" si="17"/>
        <v>0</v>
      </c>
      <c r="BA56" s="7">
        <f t="shared" si="17"/>
        <v>0</v>
      </c>
      <c r="BB56" s="7">
        <f t="shared" si="17"/>
        <v>0</v>
      </c>
      <c r="BC56" s="7">
        <f t="shared" si="17"/>
        <v>103</v>
      </c>
      <c r="BD56" s="7">
        <f t="shared" si="17"/>
        <v>0</v>
      </c>
      <c r="BE56" s="7">
        <f t="shared" si="17"/>
        <v>0</v>
      </c>
      <c r="BF56" s="7">
        <f t="shared" si="17"/>
        <v>0</v>
      </c>
      <c r="BG56" s="7">
        <f t="shared" si="17"/>
        <v>0</v>
      </c>
      <c r="BH56" s="7">
        <f t="shared" si="17"/>
        <v>0</v>
      </c>
      <c r="BI56" s="420">
        <f t="shared" si="12"/>
        <v>103</v>
      </c>
    </row>
    <row r="57" spans="1:61">
      <c r="A57" s="1" t="s">
        <v>970</v>
      </c>
      <c r="B57" s="4">
        <v>15055279</v>
      </c>
      <c r="D57" s="1" t="s">
        <v>708</v>
      </c>
      <c r="E57" s="7"/>
      <c r="F57" s="340"/>
      <c r="H57" s="7"/>
      <c r="I57" s="7"/>
      <c r="M57" s="333"/>
      <c r="N57" s="332"/>
      <c r="O57" s="473">
        <f>484.48+77.76</f>
        <v>562.24</v>
      </c>
      <c r="P57" s="473">
        <v>288.76</v>
      </c>
      <c r="Q57" s="473">
        <v>155.51</v>
      </c>
      <c r="R57" s="473">
        <v>155.51</v>
      </c>
      <c r="S57" s="136"/>
      <c r="T57" s="136"/>
      <c r="U57" s="136"/>
      <c r="V57" s="136"/>
      <c r="W57" s="136"/>
      <c r="X57" s="136"/>
      <c r="Y57" s="473">
        <v>170</v>
      </c>
      <c r="Z57" s="136"/>
      <c r="AA57" s="312">
        <f t="shared" si="6"/>
        <v>170</v>
      </c>
      <c r="AB57" s="384">
        <f>SUM(O57:Z57)</f>
        <v>1332.02</v>
      </c>
      <c r="AD57" s="9">
        <f t="shared" si="21"/>
        <v>0</v>
      </c>
      <c r="AE57" s="9">
        <f t="shared" si="19"/>
        <v>0</v>
      </c>
      <c r="AF57" s="9">
        <f t="shared" si="19"/>
        <v>0</v>
      </c>
      <c r="AG57" s="9">
        <f t="shared" si="19"/>
        <v>0</v>
      </c>
      <c r="AH57" s="9">
        <f t="shared" si="19"/>
        <v>0</v>
      </c>
      <c r="AI57" s="9">
        <f t="shared" si="19"/>
        <v>0</v>
      </c>
      <c r="AJ57" s="9">
        <f t="shared" si="19"/>
        <v>0</v>
      </c>
      <c r="AK57" s="9">
        <f t="shared" si="19"/>
        <v>0</v>
      </c>
      <c r="AL57" s="9">
        <f t="shared" si="19"/>
        <v>0</v>
      </c>
      <c r="AM57" s="9">
        <f t="shared" si="19"/>
        <v>0</v>
      </c>
      <c r="AN57" s="9">
        <f t="shared" si="19"/>
        <v>0</v>
      </c>
      <c r="AO57" s="9">
        <f t="shared" si="19"/>
        <v>0</v>
      </c>
      <c r="AP57" s="9">
        <f t="shared" si="19"/>
        <v>0</v>
      </c>
      <c r="AQ57" s="9">
        <f t="shared" si="19"/>
        <v>0</v>
      </c>
      <c r="AR57" s="9">
        <f t="shared" si="19"/>
        <v>170</v>
      </c>
      <c r="AS57" s="9">
        <f t="shared" si="19"/>
        <v>0</v>
      </c>
      <c r="AT57" s="365">
        <f t="shared" si="15"/>
        <v>170</v>
      </c>
      <c r="AU57" s="416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420"/>
    </row>
    <row r="58" spans="1:61">
      <c r="A58" s="1" t="s">
        <v>658</v>
      </c>
      <c r="B58" s="4">
        <v>7009200</v>
      </c>
      <c r="C58" s="1" t="s">
        <v>516</v>
      </c>
      <c r="D58" s="1" t="s">
        <v>516</v>
      </c>
      <c r="E58" s="7"/>
      <c r="F58" s="7">
        <v>569</v>
      </c>
      <c r="G58" s="1" t="s">
        <v>773</v>
      </c>
      <c r="H58" s="7">
        <v>91</v>
      </c>
      <c r="I58" s="7">
        <v>1</v>
      </c>
      <c r="J58" s="1" t="s">
        <v>751</v>
      </c>
      <c r="K58" s="1" t="s">
        <v>774</v>
      </c>
      <c r="L58" s="1" t="s">
        <v>745</v>
      </c>
      <c r="M58" s="333" t="s">
        <v>744</v>
      </c>
      <c r="N58" s="332">
        <v>40503</v>
      </c>
      <c r="O58" s="181">
        <v>24279.75</v>
      </c>
      <c r="P58" s="229">
        <v>22419.55</v>
      </c>
      <c r="Q58" s="229">
        <v>21863.31</v>
      </c>
      <c r="R58" s="192">
        <v>29567.8</v>
      </c>
      <c r="S58" s="195">
        <v>17971.580000000002</v>
      </c>
      <c r="T58" s="238">
        <v>12043.12</v>
      </c>
      <c r="U58" s="347">
        <v>6588.48</v>
      </c>
      <c r="V58" s="433">
        <v>17967.18</v>
      </c>
      <c r="W58" s="433">
        <v>11011.87</v>
      </c>
      <c r="X58" s="220">
        <v>3021.19</v>
      </c>
      <c r="Y58" s="433">
        <v>5576.05</v>
      </c>
      <c r="Z58" s="433">
        <v>7521.98</v>
      </c>
      <c r="AA58" s="312">
        <f t="shared" si="6"/>
        <v>51686.75</v>
      </c>
      <c r="AB58" s="384">
        <f t="shared" ref="AB58:AB64" si="22">SUM(O58:Z58)</f>
        <v>179831.86</v>
      </c>
      <c r="AD58" s="9">
        <f t="shared" si="21"/>
        <v>0</v>
      </c>
      <c r="AE58" s="9">
        <f t="shared" si="19"/>
        <v>0</v>
      </c>
      <c r="AF58" s="9">
        <f t="shared" si="19"/>
        <v>0</v>
      </c>
      <c r="AG58" s="9">
        <f t="shared" si="19"/>
        <v>0</v>
      </c>
      <c r="AH58" s="9">
        <f t="shared" si="19"/>
        <v>0</v>
      </c>
      <c r="AI58" s="9">
        <f t="shared" si="19"/>
        <v>0</v>
      </c>
      <c r="AJ58" s="9">
        <f t="shared" si="19"/>
        <v>0</v>
      </c>
      <c r="AK58" s="9">
        <f t="shared" si="19"/>
        <v>0</v>
      </c>
      <c r="AL58" s="9">
        <f t="shared" si="19"/>
        <v>51686.75</v>
      </c>
      <c r="AM58" s="9">
        <f t="shared" si="19"/>
        <v>0</v>
      </c>
      <c r="AN58" s="9">
        <f t="shared" si="19"/>
        <v>0</v>
      </c>
      <c r="AO58" s="9">
        <f t="shared" si="19"/>
        <v>0</v>
      </c>
      <c r="AP58" s="9">
        <f t="shared" si="19"/>
        <v>0</v>
      </c>
      <c r="AQ58" s="9">
        <f t="shared" si="19"/>
        <v>0</v>
      </c>
      <c r="AR58" s="9">
        <f t="shared" si="19"/>
        <v>0</v>
      </c>
      <c r="AS58" s="9">
        <f t="shared" si="19"/>
        <v>0</v>
      </c>
      <c r="AT58" s="365">
        <f t="shared" si="15"/>
        <v>51686.75</v>
      </c>
      <c r="AU58" s="416"/>
      <c r="AV58" s="7">
        <f t="shared" si="20"/>
        <v>0</v>
      </c>
      <c r="AW58" s="7">
        <f t="shared" si="17"/>
        <v>0</v>
      </c>
      <c r="AX58" s="7">
        <f t="shared" si="17"/>
        <v>0</v>
      </c>
      <c r="AY58" s="7">
        <f t="shared" si="17"/>
        <v>0</v>
      </c>
      <c r="AZ58" s="7">
        <f t="shared" si="17"/>
        <v>0</v>
      </c>
      <c r="BA58" s="7">
        <f t="shared" si="17"/>
        <v>0</v>
      </c>
      <c r="BB58" s="7">
        <f t="shared" si="17"/>
        <v>0</v>
      </c>
      <c r="BC58" s="7">
        <f t="shared" si="17"/>
        <v>91</v>
      </c>
      <c r="BD58" s="7">
        <f t="shared" si="17"/>
        <v>0</v>
      </c>
      <c r="BE58" s="7">
        <f t="shared" si="17"/>
        <v>0</v>
      </c>
      <c r="BF58" s="7">
        <f t="shared" si="17"/>
        <v>0</v>
      </c>
      <c r="BG58" s="7">
        <f t="shared" si="17"/>
        <v>0</v>
      </c>
      <c r="BH58" s="7">
        <f t="shared" si="17"/>
        <v>0</v>
      </c>
      <c r="BI58" s="420">
        <f t="shared" si="12"/>
        <v>91</v>
      </c>
    </row>
    <row r="59" spans="1:61">
      <c r="A59" s="1" t="s">
        <v>530</v>
      </c>
      <c r="B59" s="4">
        <v>15037322</v>
      </c>
      <c r="C59" s="1" t="s">
        <v>646</v>
      </c>
      <c r="D59" s="1" t="s">
        <v>623</v>
      </c>
      <c r="E59" s="7">
        <v>2006</v>
      </c>
      <c r="G59" s="1" t="s">
        <v>775</v>
      </c>
      <c r="H59" s="7">
        <v>91</v>
      </c>
      <c r="I59" s="7">
        <v>1</v>
      </c>
      <c r="J59" s="1" t="s">
        <v>751</v>
      </c>
      <c r="K59" s="1" t="s">
        <v>423</v>
      </c>
      <c r="L59" s="1" t="s">
        <v>745</v>
      </c>
      <c r="M59" s="333" t="s">
        <v>744</v>
      </c>
      <c r="N59" s="332">
        <v>40509</v>
      </c>
      <c r="O59" s="181">
        <v>24205.71</v>
      </c>
      <c r="P59" s="184">
        <v>24194.91</v>
      </c>
      <c r="Q59" s="229">
        <v>23147.46</v>
      </c>
      <c r="R59" s="192">
        <v>27217.09</v>
      </c>
      <c r="S59" s="195">
        <v>17119.68</v>
      </c>
      <c r="T59" s="238">
        <v>15494.06</v>
      </c>
      <c r="U59" s="347">
        <v>16267.26</v>
      </c>
      <c r="V59" s="212">
        <v>18102.939999999999</v>
      </c>
      <c r="W59" s="217">
        <v>9630.67</v>
      </c>
      <c r="X59" s="220">
        <v>3794.18</v>
      </c>
      <c r="Y59" s="304">
        <v>4531.17</v>
      </c>
      <c r="Z59" s="172">
        <v>9252.61</v>
      </c>
      <c r="AA59" s="312">
        <f t="shared" si="6"/>
        <v>61578.829999999994</v>
      </c>
      <c r="AB59" s="395">
        <f t="shared" si="22"/>
        <v>192957.74</v>
      </c>
      <c r="AD59" s="9">
        <f t="shared" si="21"/>
        <v>0</v>
      </c>
      <c r="AE59" s="9">
        <f t="shared" si="19"/>
        <v>0</v>
      </c>
      <c r="AF59" s="9">
        <f t="shared" si="19"/>
        <v>0</v>
      </c>
      <c r="AG59" s="9">
        <f t="shared" si="19"/>
        <v>0</v>
      </c>
      <c r="AH59" s="9">
        <f t="shared" si="19"/>
        <v>0</v>
      </c>
      <c r="AI59" s="9">
        <f t="shared" si="19"/>
        <v>61578.829999999994</v>
      </c>
      <c r="AJ59" s="9">
        <f t="shared" si="19"/>
        <v>0</v>
      </c>
      <c r="AK59" s="9">
        <f t="shared" si="19"/>
        <v>0</v>
      </c>
      <c r="AL59" s="9">
        <f t="shared" si="19"/>
        <v>0</v>
      </c>
      <c r="AM59" s="9">
        <f t="shared" si="19"/>
        <v>0</v>
      </c>
      <c r="AN59" s="9">
        <f t="shared" si="19"/>
        <v>0</v>
      </c>
      <c r="AO59" s="9">
        <f t="shared" si="19"/>
        <v>0</v>
      </c>
      <c r="AP59" s="9">
        <f t="shared" si="19"/>
        <v>0</v>
      </c>
      <c r="AQ59" s="9">
        <f t="shared" si="19"/>
        <v>0</v>
      </c>
      <c r="AR59" s="9">
        <f t="shared" si="19"/>
        <v>0</v>
      </c>
      <c r="AS59" s="9">
        <f t="shared" si="19"/>
        <v>0</v>
      </c>
      <c r="AT59" s="365">
        <f t="shared" si="15"/>
        <v>61578.829999999994</v>
      </c>
      <c r="AU59" s="416"/>
      <c r="AV59" s="7">
        <f t="shared" si="20"/>
        <v>0</v>
      </c>
      <c r="AW59" s="7">
        <f t="shared" si="17"/>
        <v>0</v>
      </c>
      <c r="AX59" s="7">
        <f t="shared" si="17"/>
        <v>0</v>
      </c>
      <c r="AY59" s="7">
        <f t="shared" si="17"/>
        <v>0</v>
      </c>
      <c r="AZ59" s="7">
        <f t="shared" si="17"/>
        <v>91</v>
      </c>
      <c r="BA59" s="7">
        <f t="shared" si="17"/>
        <v>0</v>
      </c>
      <c r="BB59" s="7">
        <f t="shared" si="17"/>
        <v>0</v>
      </c>
      <c r="BC59" s="7">
        <f t="shared" si="17"/>
        <v>0</v>
      </c>
      <c r="BD59" s="7">
        <f t="shared" si="17"/>
        <v>0</v>
      </c>
      <c r="BE59" s="7">
        <f t="shared" si="17"/>
        <v>0</v>
      </c>
      <c r="BF59" s="7">
        <f t="shared" si="17"/>
        <v>0</v>
      </c>
      <c r="BG59" s="7">
        <f t="shared" si="17"/>
        <v>0</v>
      </c>
      <c r="BH59" s="7">
        <f t="shared" si="17"/>
        <v>0</v>
      </c>
      <c r="BI59" s="420">
        <f t="shared" ref="BI59:BI84" si="23">+SUM(AV59:BH59)</f>
        <v>91</v>
      </c>
    </row>
    <row r="60" spans="1:61">
      <c r="A60" s="1" t="s">
        <v>530</v>
      </c>
      <c r="B60" s="4">
        <v>15062439</v>
      </c>
      <c r="C60" s="1" t="s">
        <v>604</v>
      </c>
      <c r="D60" s="1" t="s">
        <v>325</v>
      </c>
      <c r="E60" s="7">
        <v>2008</v>
      </c>
      <c r="G60" s="1" t="s">
        <v>325</v>
      </c>
      <c r="H60" s="7">
        <v>127</v>
      </c>
      <c r="I60" s="7">
        <v>2</v>
      </c>
      <c r="J60" s="1" t="s">
        <v>778</v>
      </c>
      <c r="K60" s="1" t="s">
        <v>779</v>
      </c>
      <c r="L60" s="1" t="s">
        <v>745</v>
      </c>
      <c r="M60" s="333" t="s">
        <v>744</v>
      </c>
      <c r="N60" s="332">
        <v>40509</v>
      </c>
      <c r="O60" s="181">
        <v>27842.6</v>
      </c>
      <c r="P60" s="184">
        <v>23128.5</v>
      </c>
      <c r="Q60" s="229">
        <v>24979.69</v>
      </c>
      <c r="R60" s="192">
        <v>31526.080000000002</v>
      </c>
      <c r="S60" s="195">
        <v>18805.400000000001</v>
      </c>
      <c r="T60" s="238">
        <v>16313.37</v>
      </c>
      <c r="U60" s="347">
        <v>12658.5</v>
      </c>
      <c r="V60" s="212">
        <v>15771.52</v>
      </c>
      <c r="W60" s="217">
        <v>10680.55</v>
      </c>
      <c r="X60" s="220">
        <v>1474.47</v>
      </c>
      <c r="Y60" s="304">
        <v>6979.59</v>
      </c>
      <c r="Z60" s="172">
        <v>11929</v>
      </c>
      <c r="AA60" s="312">
        <f t="shared" si="6"/>
        <v>59493.630000000005</v>
      </c>
      <c r="AB60" s="395">
        <f t="shared" si="22"/>
        <v>202089.26999999996</v>
      </c>
      <c r="AD60" s="9">
        <f t="shared" si="21"/>
        <v>0</v>
      </c>
      <c r="AE60" s="9">
        <f t="shared" si="19"/>
        <v>0</v>
      </c>
      <c r="AF60" s="9">
        <f t="shared" si="19"/>
        <v>0</v>
      </c>
      <c r="AG60" s="9">
        <f t="shared" si="19"/>
        <v>0</v>
      </c>
      <c r="AH60" s="9">
        <f t="shared" si="19"/>
        <v>0</v>
      </c>
      <c r="AI60" s="9">
        <f t="shared" si="19"/>
        <v>59493.630000000005</v>
      </c>
      <c r="AJ60" s="9">
        <f t="shared" si="19"/>
        <v>0</v>
      </c>
      <c r="AK60" s="9">
        <f t="shared" si="19"/>
        <v>0</v>
      </c>
      <c r="AL60" s="9">
        <f t="shared" si="19"/>
        <v>0</v>
      </c>
      <c r="AM60" s="9">
        <f t="shared" si="19"/>
        <v>0</v>
      </c>
      <c r="AN60" s="9">
        <f t="shared" si="19"/>
        <v>0</v>
      </c>
      <c r="AO60" s="9">
        <f t="shared" si="19"/>
        <v>0</v>
      </c>
      <c r="AP60" s="9">
        <f t="shared" si="19"/>
        <v>0</v>
      </c>
      <c r="AQ60" s="9">
        <f t="shared" si="19"/>
        <v>0</v>
      </c>
      <c r="AR60" s="9">
        <f t="shared" si="19"/>
        <v>0</v>
      </c>
      <c r="AS60" s="9">
        <f t="shared" si="19"/>
        <v>0</v>
      </c>
      <c r="AT60" s="365">
        <f t="shared" si="15"/>
        <v>59493.630000000005</v>
      </c>
      <c r="AU60" s="416"/>
      <c r="AV60" s="7">
        <f t="shared" si="20"/>
        <v>0</v>
      </c>
      <c r="AW60" s="7">
        <f t="shared" si="17"/>
        <v>0</v>
      </c>
      <c r="AX60" s="7">
        <f t="shared" si="17"/>
        <v>0</v>
      </c>
      <c r="AY60" s="7">
        <f t="shared" si="17"/>
        <v>0</v>
      </c>
      <c r="AZ60" s="7">
        <f t="shared" si="17"/>
        <v>127</v>
      </c>
      <c r="BA60" s="7">
        <f t="shared" si="17"/>
        <v>0</v>
      </c>
      <c r="BB60" s="7">
        <f t="shared" si="17"/>
        <v>0</v>
      </c>
      <c r="BC60" s="7">
        <f t="shared" si="17"/>
        <v>0</v>
      </c>
      <c r="BD60" s="7">
        <f t="shared" si="17"/>
        <v>0</v>
      </c>
      <c r="BE60" s="7">
        <f t="shared" si="17"/>
        <v>0</v>
      </c>
      <c r="BF60" s="7">
        <f t="shared" si="17"/>
        <v>0</v>
      </c>
      <c r="BG60" s="7">
        <f t="shared" si="17"/>
        <v>0</v>
      </c>
      <c r="BH60" s="7">
        <f t="shared" si="17"/>
        <v>0</v>
      </c>
      <c r="BI60" s="420">
        <f t="shared" si="23"/>
        <v>127</v>
      </c>
    </row>
    <row r="61" spans="1:61">
      <c r="A61" s="1" t="s">
        <v>531</v>
      </c>
      <c r="B61" s="4">
        <v>15035829</v>
      </c>
      <c r="C61" s="1" t="s">
        <v>567</v>
      </c>
      <c r="D61" s="1" t="s">
        <v>253</v>
      </c>
      <c r="E61" s="7">
        <v>1977</v>
      </c>
      <c r="G61" s="1" t="s">
        <v>780</v>
      </c>
      <c r="H61" s="7">
        <v>366</v>
      </c>
      <c r="I61" s="7">
        <v>19</v>
      </c>
      <c r="J61" s="1" t="s">
        <v>778</v>
      </c>
      <c r="K61" s="1" t="s">
        <v>781</v>
      </c>
      <c r="L61" s="1" t="s">
        <v>745</v>
      </c>
      <c r="M61" s="333" t="s">
        <v>744</v>
      </c>
      <c r="N61" s="332">
        <v>40507</v>
      </c>
      <c r="O61" s="181">
        <v>39380.32</v>
      </c>
      <c r="P61" s="184">
        <v>83274.149999999994</v>
      </c>
      <c r="Q61" s="229">
        <v>97099.04</v>
      </c>
      <c r="R61" s="192">
        <v>136421.29999999999</v>
      </c>
      <c r="S61" s="195">
        <v>83608.19</v>
      </c>
      <c r="T61" s="238">
        <v>52201.68</v>
      </c>
      <c r="U61" s="347">
        <v>54340.29</v>
      </c>
      <c r="V61" s="212">
        <v>77815.42</v>
      </c>
      <c r="W61" s="217">
        <v>34438.980000000003</v>
      </c>
      <c r="X61" s="220">
        <v>5170.16</v>
      </c>
      <c r="Y61" s="304">
        <v>6719.19</v>
      </c>
      <c r="Z61" s="172">
        <v>5823.11</v>
      </c>
      <c r="AA61" s="312">
        <f t="shared" si="6"/>
        <v>184307.15</v>
      </c>
      <c r="AB61" s="390">
        <f t="shared" si="22"/>
        <v>676291.83</v>
      </c>
      <c r="AD61" s="9">
        <f t="shared" si="21"/>
        <v>0</v>
      </c>
      <c r="AE61" s="9">
        <f t="shared" si="19"/>
        <v>0</v>
      </c>
      <c r="AF61" s="9">
        <f t="shared" si="19"/>
        <v>0</v>
      </c>
      <c r="AG61" s="9">
        <f t="shared" si="19"/>
        <v>184307.15</v>
      </c>
      <c r="AH61" s="9">
        <f t="shared" si="19"/>
        <v>0</v>
      </c>
      <c r="AI61" s="9">
        <f t="shared" si="19"/>
        <v>0</v>
      </c>
      <c r="AJ61" s="9">
        <f t="shared" si="19"/>
        <v>0</v>
      </c>
      <c r="AK61" s="9">
        <f t="shared" si="19"/>
        <v>0</v>
      </c>
      <c r="AL61" s="9">
        <f t="shared" si="19"/>
        <v>0</v>
      </c>
      <c r="AM61" s="9">
        <f t="shared" si="19"/>
        <v>0</v>
      </c>
      <c r="AN61" s="9">
        <f t="shared" si="19"/>
        <v>0</v>
      </c>
      <c r="AO61" s="9">
        <f t="shared" si="19"/>
        <v>0</v>
      </c>
      <c r="AP61" s="9">
        <f t="shared" si="19"/>
        <v>0</v>
      </c>
      <c r="AQ61" s="9">
        <f t="shared" si="19"/>
        <v>0</v>
      </c>
      <c r="AR61" s="9">
        <f t="shared" si="19"/>
        <v>0</v>
      </c>
      <c r="AS61" s="9">
        <f t="shared" si="19"/>
        <v>0</v>
      </c>
      <c r="AT61" s="365">
        <f t="shared" si="15"/>
        <v>184307.15</v>
      </c>
      <c r="AU61" s="416"/>
      <c r="AV61" s="7">
        <f t="shared" si="20"/>
        <v>0</v>
      </c>
      <c r="AW61" s="7">
        <f t="shared" si="17"/>
        <v>0</v>
      </c>
      <c r="AX61" s="7">
        <f t="shared" si="17"/>
        <v>0</v>
      </c>
      <c r="AY61" s="7">
        <f t="shared" si="17"/>
        <v>366</v>
      </c>
      <c r="AZ61" s="7">
        <f t="shared" si="17"/>
        <v>0</v>
      </c>
      <c r="BA61" s="7">
        <f t="shared" si="17"/>
        <v>0</v>
      </c>
      <c r="BB61" s="7">
        <f t="shared" si="17"/>
        <v>0</v>
      </c>
      <c r="BC61" s="7">
        <f t="shared" si="17"/>
        <v>0</v>
      </c>
      <c r="BD61" s="7">
        <f t="shared" si="17"/>
        <v>0</v>
      </c>
      <c r="BE61" s="7">
        <f t="shared" si="17"/>
        <v>0</v>
      </c>
      <c r="BF61" s="7">
        <f t="shared" si="17"/>
        <v>0</v>
      </c>
      <c r="BG61" s="7">
        <f t="shared" si="17"/>
        <v>0</v>
      </c>
      <c r="BH61" s="7">
        <f t="shared" si="17"/>
        <v>0</v>
      </c>
      <c r="BI61" s="420">
        <f t="shared" si="23"/>
        <v>366</v>
      </c>
    </row>
    <row r="62" spans="1:61">
      <c r="A62" s="1" t="s">
        <v>664</v>
      </c>
      <c r="B62" s="4">
        <v>15060954</v>
      </c>
      <c r="C62" s="1" t="s">
        <v>528</v>
      </c>
      <c r="D62" s="1" t="s">
        <v>498</v>
      </c>
      <c r="E62" s="7">
        <v>2005</v>
      </c>
      <c r="F62" s="7">
        <v>132</v>
      </c>
      <c r="G62" s="1" t="s">
        <v>498</v>
      </c>
      <c r="H62" s="7">
        <v>62</v>
      </c>
      <c r="I62" s="7">
        <v>1</v>
      </c>
      <c r="K62" s="1" t="s">
        <v>455</v>
      </c>
      <c r="L62" s="1" t="s">
        <v>745</v>
      </c>
      <c r="M62" s="333" t="s">
        <v>744</v>
      </c>
      <c r="N62" s="332">
        <v>40504</v>
      </c>
      <c r="O62" s="181">
        <v>7423.34</v>
      </c>
      <c r="P62" s="184">
        <v>8052.42</v>
      </c>
      <c r="Q62" s="229">
        <v>7205.45</v>
      </c>
      <c r="R62" s="192">
        <v>9146.5400000000009</v>
      </c>
      <c r="S62" s="195">
        <v>5851.61</v>
      </c>
      <c r="T62" s="238">
        <v>4494.8999999999996</v>
      </c>
      <c r="U62" s="347">
        <v>5198.8500000000004</v>
      </c>
      <c r="V62" s="212">
        <v>2786.36</v>
      </c>
      <c r="W62" s="217">
        <v>2810.01</v>
      </c>
      <c r="X62" s="172">
        <v>1261.1500000000001</v>
      </c>
      <c r="Y62" s="172">
        <v>1842.97</v>
      </c>
      <c r="Z62" s="172">
        <v>1664.92</v>
      </c>
      <c r="AA62" s="312">
        <f t="shared" si="6"/>
        <v>15564.26</v>
      </c>
      <c r="AB62" s="384">
        <f t="shared" si="22"/>
        <v>57738.520000000004</v>
      </c>
      <c r="AD62" s="9">
        <f t="shared" si="21"/>
        <v>0</v>
      </c>
      <c r="AE62" s="9">
        <f t="shared" si="19"/>
        <v>0</v>
      </c>
      <c r="AF62" s="9">
        <f t="shared" si="19"/>
        <v>0</v>
      </c>
      <c r="AG62" s="9">
        <f t="shared" si="19"/>
        <v>0</v>
      </c>
      <c r="AH62" s="9">
        <f t="shared" si="19"/>
        <v>0</v>
      </c>
      <c r="AI62" s="9">
        <f t="shared" si="19"/>
        <v>0</v>
      </c>
      <c r="AJ62" s="9">
        <f t="shared" si="19"/>
        <v>0</v>
      </c>
      <c r="AK62" s="9">
        <f t="shared" si="19"/>
        <v>0</v>
      </c>
      <c r="AL62" s="9">
        <f t="shared" si="19"/>
        <v>0</v>
      </c>
      <c r="AM62" s="9">
        <f t="shared" si="19"/>
        <v>0</v>
      </c>
      <c r="AN62" s="9">
        <f t="shared" si="19"/>
        <v>0</v>
      </c>
      <c r="AO62" s="9">
        <f t="shared" si="19"/>
        <v>0</v>
      </c>
      <c r="AP62" s="9">
        <f t="shared" si="19"/>
        <v>15564.26</v>
      </c>
      <c r="AQ62" s="9">
        <f t="shared" si="19"/>
        <v>0</v>
      </c>
      <c r="AR62" s="9">
        <f t="shared" si="19"/>
        <v>0</v>
      </c>
      <c r="AS62" s="9">
        <f t="shared" si="19"/>
        <v>0</v>
      </c>
      <c r="AT62" s="365">
        <f t="shared" si="15"/>
        <v>15564.26</v>
      </c>
      <c r="AU62" s="416"/>
      <c r="AV62" s="7">
        <f t="shared" si="20"/>
        <v>0</v>
      </c>
      <c r="AW62" s="7">
        <f t="shared" si="17"/>
        <v>0</v>
      </c>
      <c r="AX62" s="7">
        <f t="shared" si="17"/>
        <v>0</v>
      </c>
      <c r="AY62" s="7">
        <f t="shared" si="17"/>
        <v>0</v>
      </c>
      <c r="AZ62" s="7">
        <f t="shared" si="17"/>
        <v>0</v>
      </c>
      <c r="BA62" s="7">
        <f t="shared" si="17"/>
        <v>0</v>
      </c>
      <c r="BB62" s="7">
        <f t="shared" si="17"/>
        <v>0</v>
      </c>
      <c r="BC62" s="7">
        <f t="shared" si="17"/>
        <v>0</v>
      </c>
      <c r="BD62" s="7">
        <f t="shared" si="17"/>
        <v>0</v>
      </c>
      <c r="BE62" s="7">
        <f t="shared" si="17"/>
        <v>0</v>
      </c>
      <c r="BF62" s="7">
        <f t="shared" si="17"/>
        <v>0</v>
      </c>
      <c r="BG62" s="7">
        <f t="shared" si="17"/>
        <v>62</v>
      </c>
      <c r="BH62" s="7">
        <f t="shared" si="17"/>
        <v>0</v>
      </c>
      <c r="BI62" s="420">
        <f t="shared" si="23"/>
        <v>62</v>
      </c>
    </row>
    <row r="63" spans="1:61">
      <c r="A63" s="1" t="s">
        <v>970</v>
      </c>
      <c r="B63" s="4">
        <v>15033786</v>
      </c>
      <c r="D63" s="1" t="s">
        <v>914</v>
      </c>
      <c r="E63" s="7"/>
      <c r="H63" s="7"/>
      <c r="I63" s="7"/>
      <c r="M63" s="333"/>
      <c r="N63" s="332"/>
      <c r="O63" s="136"/>
      <c r="P63" s="136"/>
      <c r="Q63" s="136"/>
      <c r="R63" s="136"/>
      <c r="S63" s="238">
        <v>860.63</v>
      </c>
      <c r="T63" s="238">
        <v>225.25</v>
      </c>
      <c r="U63" s="136"/>
      <c r="V63" s="136"/>
      <c r="W63" s="217">
        <v>102</v>
      </c>
      <c r="X63" s="136"/>
      <c r="Y63" s="136"/>
      <c r="Z63" s="136"/>
      <c r="AA63" s="312">
        <f t="shared" si="6"/>
        <v>102</v>
      </c>
      <c r="AB63" s="384">
        <f t="shared" si="22"/>
        <v>1187.8800000000001</v>
      </c>
      <c r="AD63" s="9">
        <f t="shared" si="21"/>
        <v>0</v>
      </c>
      <c r="AE63" s="9">
        <f t="shared" si="19"/>
        <v>0</v>
      </c>
      <c r="AF63" s="9">
        <f t="shared" si="19"/>
        <v>0</v>
      </c>
      <c r="AG63" s="9">
        <f t="shared" si="19"/>
        <v>0</v>
      </c>
      <c r="AH63" s="9">
        <f t="shared" si="19"/>
        <v>0</v>
      </c>
      <c r="AI63" s="9">
        <f t="shared" si="19"/>
        <v>0</v>
      </c>
      <c r="AJ63" s="9">
        <f t="shared" si="19"/>
        <v>0</v>
      </c>
      <c r="AK63" s="9">
        <f t="shared" si="19"/>
        <v>0</v>
      </c>
      <c r="AL63" s="9">
        <f t="shared" si="19"/>
        <v>0</v>
      </c>
      <c r="AM63" s="9">
        <f t="shared" si="19"/>
        <v>0</v>
      </c>
      <c r="AN63" s="9">
        <f t="shared" si="19"/>
        <v>0</v>
      </c>
      <c r="AO63" s="9">
        <f t="shared" si="19"/>
        <v>0</v>
      </c>
      <c r="AP63" s="9">
        <f t="shared" si="19"/>
        <v>0</v>
      </c>
      <c r="AQ63" s="9">
        <f t="shared" si="19"/>
        <v>0</v>
      </c>
      <c r="AR63" s="9">
        <f t="shared" si="19"/>
        <v>102</v>
      </c>
      <c r="AS63" s="9">
        <f t="shared" si="19"/>
        <v>0</v>
      </c>
      <c r="AT63" s="365">
        <f t="shared" si="15"/>
        <v>102</v>
      </c>
      <c r="AU63" s="416"/>
      <c r="AV63" s="7">
        <f t="shared" si="20"/>
        <v>0</v>
      </c>
      <c r="AW63" s="7">
        <f t="shared" si="17"/>
        <v>0</v>
      </c>
      <c r="AX63" s="7">
        <f t="shared" si="17"/>
        <v>0</v>
      </c>
      <c r="AY63" s="7">
        <f t="shared" si="17"/>
        <v>0</v>
      </c>
      <c r="AZ63" s="7">
        <f t="shared" si="17"/>
        <v>0</v>
      </c>
      <c r="BA63" s="7">
        <f t="shared" si="17"/>
        <v>0</v>
      </c>
      <c r="BB63" s="7">
        <f t="shared" si="17"/>
        <v>0</v>
      </c>
      <c r="BC63" s="7">
        <f t="shared" si="17"/>
        <v>0</v>
      </c>
      <c r="BD63" s="7">
        <f t="shared" si="17"/>
        <v>0</v>
      </c>
      <c r="BE63" s="7">
        <f t="shared" si="17"/>
        <v>0</v>
      </c>
      <c r="BF63" s="7">
        <f t="shared" si="17"/>
        <v>0</v>
      </c>
      <c r="BG63" s="7">
        <f t="shared" si="17"/>
        <v>0</v>
      </c>
      <c r="BH63" s="7">
        <f t="shared" si="17"/>
        <v>0</v>
      </c>
      <c r="BI63" s="420">
        <f t="shared" si="23"/>
        <v>0</v>
      </c>
    </row>
    <row r="64" spans="1:61">
      <c r="A64" s="1" t="s">
        <v>970</v>
      </c>
      <c r="B64" s="4">
        <v>15063095</v>
      </c>
      <c r="D64" s="1" t="s">
        <v>881</v>
      </c>
      <c r="O64" s="181">
        <v>783.85</v>
      </c>
      <c r="P64" s="192">
        <v>583.39</v>
      </c>
      <c r="Q64" s="192">
        <v>166.92</v>
      </c>
      <c r="R64" s="347">
        <v>101.05</v>
      </c>
      <c r="S64" s="136"/>
      <c r="T64" s="347">
        <v>140.38</v>
      </c>
      <c r="U64" s="136"/>
      <c r="V64" s="136"/>
      <c r="W64" s="172">
        <v>61.7</v>
      </c>
      <c r="X64" s="136"/>
      <c r="Y64" s="136"/>
      <c r="Z64" s="136"/>
      <c r="AA64" s="312">
        <f t="shared" si="6"/>
        <v>61.7</v>
      </c>
      <c r="AB64" s="392">
        <f t="shared" si="22"/>
        <v>1837.2900000000002</v>
      </c>
      <c r="AD64" s="9">
        <f t="shared" si="21"/>
        <v>0</v>
      </c>
      <c r="AE64" s="9">
        <f t="shared" si="19"/>
        <v>0</v>
      </c>
      <c r="AF64" s="9">
        <f t="shared" si="19"/>
        <v>0</v>
      </c>
      <c r="AG64" s="9">
        <f t="shared" si="19"/>
        <v>0</v>
      </c>
      <c r="AH64" s="9">
        <f t="shared" si="19"/>
        <v>0</v>
      </c>
      <c r="AI64" s="9">
        <f t="shared" si="19"/>
        <v>0</v>
      </c>
      <c r="AJ64" s="9">
        <f t="shared" si="19"/>
        <v>0</v>
      </c>
      <c r="AK64" s="9">
        <f t="shared" si="19"/>
        <v>0</v>
      </c>
      <c r="AL64" s="9">
        <f t="shared" si="19"/>
        <v>0</v>
      </c>
      <c r="AM64" s="9">
        <f t="shared" si="19"/>
        <v>0</v>
      </c>
      <c r="AN64" s="9">
        <f t="shared" si="19"/>
        <v>0</v>
      </c>
      <c r="AO64" s="9">
        <f t="shared" si="19"/>
        <v>0</v>
      </c>
      <c r="AP64" s="9">
        <f t="shared" si="19"/>
        <v>0</v>
      </c>
      <c r="AQ64" s="9">
        <f t="shared" si="19"/>
        <v>0</v>
      </c>
      <c r="AR64" s="9">
        <f t="shared" si="19"/>
        <v>61.7</v>
      </c>
      <c r="AS64" s="9">
        <f t="shared" si="19"/>
        <v>0</v>
      </c>
      <c r="AT64" s="365">
        <f t="shared" si="15"/>
        <v>61.7</v>
      </c>
      <c r="AU64" s="416"/>
      <c r="AV64" s="7">
        <f t="shared" si="20"/>
        <v>0</v>
      </c>
      <c r="AW64" s="7">
        <f t="shared" si="17"/>
        <v>0</v>
      </c>
      <c r="AX64" s="7">
        <f t="shared" si="17"/>
        <v>0</v>
      </c>
      <c r="AY64" s="7">
        <f t="shared" si="17"/>
        <v>0</v>
      </c>
      <c r="AZ64" s="7">
        <f t="shared" si="17"/>
        <v>0</v>
      </c>
      <c r="BA64" s="7">
        <f t="shared" si="17"/>
        <v>0</v>
      </c>
      <c r="BB64" s="7">
        <f t="shared" si="17"/>
        <v>0</v>
      </c>
      <c r="BC64" s="7">
        <f t="shared" si="17"/>
        <v>0</v>
      </c>
      <c r="BD64" s="7">
        <f t="shared" si="17"/>
        <v>0</v>
      </c>
      <c r="BE64" s="7">
        <f t="shared" si="17"/>
        <v>0</v>
      </c>
      <c r="BF64" s="7">
        <f t="shared" si="17"/>
        <v>0</v>
      </c>
      <c r="BG64" s="7">
        <f t="shared" si="17"/>
        <v>0</v>
      </c>
      <c r="BH64" s="7">
        <f t="shared" si="17"/>
        <v>0</v>
      </c>
      <c r="BI64" s="420">
        <f t="shared" si="23"/>
        <v>0</v>
      </c>
    </row>
    <row r="65" spans="1:61">
      <c r="A65" s="1" t="s">
        <v>535</v>
      </c>
      <c r="B65" s="4">
        <v>7002600</v>
      </c>
      <c r="C65" s="1" t="s">
        <v>655</v>
      </c>
      <c r="D65" s="1" t="s">
        <v>806</v>
      </c>
      <c r="E65" s="338">
        <v>30042</v>
      </c>
      <c r="G65" s="1" t="s">
        <v>808</v>
      </c>
      <c r="H65" s="7">
        <v>129</v>
      </c>
      <c r="I65" s="7">
        <v>0</v>
      </c>
      <c r="K65" s="1" t="s">
        <v>807</v>
      </c>
      <c r="L65" s="1" t="s">
        <v>745</v>
      </c>
      <c r="M65" s="333" t="s">
        <v>744</v>
      </c>
      <c r="N65" s="332">
        <v>40511</v>
      </c>
      <c r="O65" s="181">
        <v>14021.59</v>
      </c>
      <c r="P65" s="184">
        <v>16215.05</v>
      </c>
      <c r="Q65" s="229">
        <v>12361.78</v>
      </c>
      <c r="R65" s="192">
        <v>15526.75</v>
      </c>
      <c r="S65" s="195">
        <v>7746.75</v>
      </c>
      <c r="T65" s="238">
        <v>5252.14</v>
      </c>
      <c r="U65" s="347">
        <v>5371.26</v>
      </c>
      <c r="V65" s="212">
        <v>5040.75</v>
      </c>
      <c r="W65" s="217">
        <v>4589.09</v>
      </c>
      <c r="X65" s="220">
        <v>2076.42</v>
      </c>
      <c r="Y65" s="304">
        <v>3364.8</v>
      </c>
      <c r="Z65" s="172">
        <v>6202.4</v>
      </c>
      <c r="AA65" s="312">
        <f t="shared" si="6"/>
        <v>26644.720000000001</v>
      </c>
      <c r="AB65" s="384">
        <f>SUM(O65:Z65)</f>
        <v>97768.779999999984</v>
      </c>
      <c r="AD65" s="9">
        <f t="shared" si="21"/>
        <v>0</v>
      </c>
      <c r="AE65" s="9">
        <f t="shared" si="19"/>
        <v>0</v>
      </c>
      <c r="AF65" s="9">
        <f t="shared" si="19"/>
        <v>0</v>
      </c>
      <c r="AG65" s="9">
        <f t="shared" si="19"/>
        <v>0</v>
      </c>
      <c r="AH65" s="9">
        <f t="shared" si="19"/>
        <v>0</v>
      </c>
      <c r="AI65" s="9">
        <f t="shared" si="19"/>
        <v>0</v>
      </c>
      <c r="AJ65" s="9">
        <f t="shared" si="19"/>
        <v>0</v>
      </c>
      <c r="AK65" s="9">
        <f t="shared" si="19"/>
        <v>26644.720000000001</v>
      </c>
      <c r="AL65" s="9">
        <f t="shared" si="19"/>
        <v>0</v>
      </c>
      <c r="AM65" s="9">
        <f t="shared" si="19"/>
        <v>0</v>
      </c>
      <c r="AN65" s="9">
        <f t="shared" si="19"/>
        <v>0</v>
      </c>
      <c r="AO65" s="9">
        <f t="shared" si="19"/>
        <v>0</v>
      </c>
      <c r="AP65" s="9">
        <f t="shared" si="19"/>
        <v>0</v>
      </c>
      <c r="AQ65" s="9">
        <f t="shared" si="19"/>
        <v>0</v>
      </c>
      <c r="AR65" s="9">
        <f t="shared" si="19"/>
        <v>0</v>
      </c>
      <c r="AS65" s="9">
        <f t="shared" si="19"/>
        <v>0</v>
      </c>
      <c r="AT65" s="365">
        <f t="shared" si="15"/>
        <v>26644.720000000001</v>
      </c>
      <c r="AU65" s="416"/>
      <c r="AV65" s="7">
        <f t="shared" si="20"/>
        <v>0</v>
      </c>
      <c r="AW65" s="7">
        <f t="shared" si="17"/>
        <v>0</v>
      </c>
      <c r="AX65" s="7">
        <f t="shared" si="17"/>
        <v>0</v>
      </c>
      <c r="AY65" s="7">
        <f t="shared" si="17"/>
        <v>0</v>
      </c>
      <c r="AZ65" s="7">
        <f t="shared" si="17"/>
        <v>0</v>
      </c>
      <c r="BA65" s="7">
        <f t="shared" si="17"/>
        <v>0</v>
      </c>
      <c r="BB65" s="7">
        <f t="shared" si="17"/>
        <v>129</v>
      </c>
      <c r="BC65" s="7">
        <f t="shared" si="17"/>
        <v>0</v>
      </c>
      <c r="BD65" s="7">
        <f t="shared" si="17"/>
        <v>0</v>
      </c>
      <c r="BE65" s="7">
        <f t="shared" si="17"/>
        <v>0</v>
      </c>
      <c r="BF65" s="7">
        <f t="shared" si="17"/>
        <v>0</v>
      </c>
      <c r="BG65" s="7">
        <f t="shared" si="17"/>
        <v>0</v>
      </c>
      <c r="BH65" s="7">
        <f t="shared" si="17"/>
        <v>0</v>
      </c>
      <c r="BI65" s="420">
        <f t="shared" si="23"/>
        <v>129</v>
      </c>
    </row>
    <row r="66" spans="1:61">
      <c r="A66" s="1" t="s">
        <v>533</v>
      </c>
      <c r="B66" s="4">
        <v>7008200</v>
      </c>
      <c r="C66" s="1" t="s">
        <v>347</v>
      </c>
      <c r="D66" s="1" t="s">
        <v>347</v>
      </c>
      <c r="E66" s="338">
        <v>36281</v>
      </c>
      <c r="G66" s="1" t="s">
        <v>782</v>
      </c>
      <c r="H66" s="7">
        <v>72</v>
      </c>
      <c r="I66" s="7">
        <v>1</v>
      </c>
      <c r="K66" s="1" t="s">
        <v>428</v>
      </c>
      <c r="L66" s="1" t="s">
        <v>745</v>
      </c>
      <c r="M66" s="333" t="s">
        <v>744</v>
      </c>
      <c r="N66" s="332">
        <v>40509</v>
      </c>
      <c r="O66" s="181">
        <v>14323.13</v>
      </c>
      <c r="P66" s="184">
        <v>13563.15</v>
      </c>
      <c r="Q66" s="229">
        <v>12199.81</v>
      </c>
      <c r="R66" s="192">
        <v>15349.92</v>
      </c>
      <c r="S66" s="195">
        <v>10735.28</v>
      </c>
      <c r="T66" s="238">
        <v>9599.2900000000009</v>
      </c>
      <c r="U66" s="347">
        <v>7850.59</v>
      </c>
      <c r="V66" s="212">
        <v>8372.02</v>
      </c>
      <c r="W66" s="217">
        <v>8528.64</v>
      </c>
      <c r="X66" s="220">
        <v>2804.57</v>
      </c>
      <c r="Y66" s="304">
        <v>5355.01</v>
      </c>
      <c r="Z66" s="172">
        <v>5831.92</v>
      </c>
      <c r="AA66" s="312">
        <f t="shared" si="6"/>
        <v>38742.75</v>
      </c>
      <c r="AB66" s="398">
        <f>SUM(O66:Z66)</f>
        <v>114513.32999999999</v>
      </c>
      <c r="AD66" s="9">
        <f t="shared" si="21"/>
        <v>0</v>
      </c>
      <c r="AE66" s="9">
        <f t="shared" si="19"/>
        <v>0</v>
      </c>
      <c r="AF66" s="9">
        <f t="shared" si="19"/>
        <v>0</v>
      </c>
      <c r="AG66" s="9">
        <f t="shared" si="19"/>
        <v>0</v>
      </c>
      <c r="AH66" s="9">
        <f t="shared" si="19"/>
        <v>0</v>
      </c>
      <c r="AI66" s="9">
        <f t="shared" si="19"/>
        <v>0</v>
      </c>
      <c r="AJ66" s="9">
        <f t="shared" si="19"/>
        <v>0</v>
      </c>
      <c r="AK66" s="9">
        <f t="shared" si="19"/>
        <v>0</v>
      </c>
      <c r="AL66" s="9">
        <f t="shared" si="19"/>
        <v>0</v>
      </c>
      <c r="AM66" s="9">
        <f t="shared" si="19"/>
        <v>38742.75</v>
      </c>
      <c r="AN66" s="9">
        <f t="shared" si="19"/>
        <v>0</v>
      </c>
      <c r="AO66" s="9">
        <f t="shared" si="19"/>
        <v>0</v>
      </c>
      <c r="AP66" s="9">
        <f t="shared" si="19"/>
        <v>0</v>
      </c>
      <c r="AQ66" s="9">
        <f t="shared" si="19"/>
        <v>0</v>
      </c>
      <c r="AR66" s="9">
        <f t="shared" si="19"/>
        <v>0</v>
      </c>
      <c r="AS66" s="9">
        <f t="shared" ref="AE66:AS83" si="24">+IF($A66=AS$2,SUM($U66:$Z66),0)</f>
        <v>0</v>
      </c>
      <c r="AT66" s="365">
        <f t="shared" si="15"/>
        <v>38742.75</v>
      </c>
      <c r="AU66" s="416"/>
      <c r="AV66" s="7">
        <f t="shared" si="20"/>
        <v>0</v>
      </c>
      <c r="AW66" s="7">
        <f t="shared" si="17"/>
        <v>0</v>
      </c>
      <c r="AX66" s="7">
        <f t="shared" si="17"/>
        <v>0</v>
      </c>
      <c r="AY66" s="7">
        <f t="shared" si="17"/>
        <v>0</v>
      </c>
      <c r="AZ66" s="7">
        <f t="shared" si="17"/>
        <v>0</v>
      </c>
      <c r="BA66" s="7">
        <f t="shared" si="17"/>
        <v>0</v>
      </c>
      <c r="BB66" s="7">
        <f t="shared" si="17"/>
        <v>0</v>
      </c>
      <c r="BC66" s="7">
        <f t="shared" si="17"/>
        <v>0</v>
      </c>
      <c r="BD66" s="7">
        <f t="shared" si="17"/>
        <v>72</v>
      </c>
      <c r="BE66" s="7">
        <f t="shared" si="17"/>
        <v>0</v>
      </c>
      <c r="BF66" s="7">
        <f t="shared" si="17"/>
        <v>0</v>
      </c>
      <c r="BG66" s="7">
        <f t="shared" si="17"/>
        <v>0</v>
      </c>
      <c r="BH66" s="7">
        <f t="shared" si="17"/>
        <v>0</v>
      </c>
      <c r="BI66" s="420">
        <f t="shared" si="23"/>
        <v>72</v>
      </c>
    </row>
    <row r="67" spans="1:61">
      <c r="A67" s="1" t="s">
        <v>970</v>
      </c>
      <c r="B67" s="42">
        <v>15067457</v>
      </c>
      <c r="C67" s="11"/>
      <c r="D67" s="11" t="s">
        <v>944</v>
      </c>
      <c r="E67" s="11"/>
      <c r="F67" s="340"/>
      <c r="G67" s="11"/>
      <c r="H67" s="11"/>
      <c r="I67" s="11"/>
      <c r="J67" s="11"/>
      <c r="K67" s="11"/>
      <c r="L67" s="11"/>
      <c r="M67" s="11"/>
      <c r="N67" s="11"/>
      <c r="O67" s="136"/>
      <c r="P67" s="136"/>
      <c r="Q67" s="136"/>
      <c r="R67" s="347">
        <v>491.1</v>
      </c>
      <c r="S67" s="136"/>
      <c r="T67" s="136"/>
      <c r="U67" s="136"/>
      <c r="V67" s="136"/>
      <c r="W67" s="136"/>
      <c r="X67" s="136"/>
      <c r="Y67" s="136"/>
      <c r="Z67" s="136"/>
      <c r="AA67" s="312">
        <f t="shared" si="6"/>
        <v>0</v>
      </c>
      <c r="AB67" s="384"/>
      <c r="AD67" s="9">
        <f t="shared" si="21"/>
        <v>0</v>
      </c>
      <c r="AE67" s="9">
        <f t="shared" si="24"/>
        <v>0</v>
      </c>
      <c r="AF67" s="9">
        <f t="shared" si="24"/>
        <v>0</v>
      </c>
      <c r="AG67" s="9">
        <f t="shared" si="24"/>
        <v>0</v>
      </c>
      <c r="AH67" s="9">
        <f t="shared" si="24"/>
        <v>0</v>
      </c>
      <c r="AI67" s="9">
        <f t="shared" si="24"/>
        <v>0</v>
      </c>
      <c r="AJ67" s="9">
        <f t="shared" si="24"/>
        <v>0</v>
      </c>
      <c r="AK67" s="9">
        <f t="shared" si="24"/>
        <v>0</v>
      </c>
      <c r="AL67" s="9">
        <f t="shared" si="24"/>
        <v>0</v>
      </c>
      <c r="AM67" s="9">
        <f t="shared" si="24"/>
        <v>0</v>
      </c>
      <c r="AN67" s="9">
        <f t="shared" si="24"/>
        <v>0</v>
      </c>
      <c r="AO67" s="9">
        <f t="shared" si="24"/>
        <v>0</v>
      </c>
      <c r="AP67" s="9">
        <f t="shared" si="24"/>
        <v>0</v>
      </c>
      <c r="AQ67" s="9">
        <f t="shared" si="24"/>
        <v>0</v>
      </c>
      <c r="AR67" s="9">
        <f t="shared" si="24"/>
        <v>0</v>
      </c>
      <c r="AS67" s="9">
        <f t="shared" si="24"/>
        <v>0</v>
      </c>
      <c r="AT67" s="365">
        <f t="shared" ref="AT67:AT115" si="25">+SUM(AD67:AS67)</f>
        <v>0</v>
      </c>
      <c r="AU67" s="416"/>
      <c r="AV67" s="7">
        <f t="shared" si="20"/>
        <v>0</v>
      </c>
      <c r="AW67" s="7">
        <f t="shared" ref="AW67:BH84" si="26">+IF($A67=AW$2,$H67,0)</f>
        <v>0</v>
      </c>
      <c r="AX67" s="7">
        <f t="shared" si="26"/>
        <v>0</v>
      </c>
      <c r="AY67" s="7">
        <f t="shared" si="26"/>
        <v>0</v>
      </c>
      <c r="AZ67" s="7">
        <f t="shared" si="26"/>
        <v>0</v>
      </c>
      <c r="BA67" s="7">
        <f t="shared" si="26"/>
        <v>0</v>
      </c>
      <c r="BB67" s="7">
        <f t="shared" si="26"/>
        <v>0</v>
      </c>
      <c r="BC67" s="7">
        <f t="shared" si="26"/>
        <v>0</v>
      </c>
      <c r="BD67" s="7">
        <f t="shared" si="26"/>
        <v>0</v>
      </c>
      <c r="BE67" s="7">
        <f t="shared" si="26"/>
        <v>0</v>
      </c>
      <c r="BF67" s="7">
        <f t="shared" si="26"/>
        <v>0</v>
      </c>
      <c r="BG67" s="7">
        <f t="shared" si="26"/>
        <v>0</v>
      </c>
      <c r="BH67" s="7">
        <f t="shared" si="26"/>
        <v>0</v>
      </c>
      <c r="BI67" s="420">
        <f t="shared" si="23"/>
        <v>0</v>
      </c>
    </row>
    <row r="68" spans="1:61">
      <c r="A68" s="1" t="s">
        <v>970</v>
      </c>
      <c r="B68" s="42">
        <v>15067458</v>
      </c>
      <c r="C68" s="11"/>
      <c r="D68" s="11" t="s">
        <v>945</v>
      </c>
      <c r="E68" s="11"/>
      <c r="F68" s="340"/>
      <c r="G68" s="11"/>
      <c r="H68" s="11"/>
      <c r="I68" s="11"/>
      <c r="J68" s="11"/>
      <c r="K68" s="11"/>
      <c r="L68" s="11"/>
      <c r="M68" s="11"/>
      <c r="N68" s="11"/>
      <c r="O68" s="136"/>
      <c r="P68" s="136"/>
      <c r="Q68" s="136"/>
      <c r="R68" s="347">
        <v>420.47</v>
      </c>
      <c r="S68" s="136"/>
      <c r="T68" s="347">
        <v>118.15</v>
      </c>
      <c r="U68" s="136"/>
      <c r="V68" s="136"/>
      <c r="W68" s="136"/>
      <c r="X68" s="136"/>
      <c r="Y68" s="136"/>
      <c r="Z68" s="136"/>
      <c r="AA68" s="312">
        <f t="shared" ref="AA68:AA115" si="27">SUM(U68:Z68)</f>
        <v>0</v>
      </c>
      <c r="AB68" s="384"/>
      <c r="AD68" s="9">
        <f t="shared" si="21"/>
        <v>0</v>
      </c>
      <c r="AE68" s="9">
        <f t="shared" si="24"/>
        <v>0</v>
      </c>
      <c r="AF68" s="9">
        <f t="shared" si="24"/>
        <v>0</v>
      </c>
      <c r="AG68" s="9">
        <f t="shared" si="24"/>
        <v>0</v>
      </c>
      <c r="AH68" s="9">
        <f t="shared" si="24"/>
        <v>0</v>
      </c>
      <c r="AI68" s="9">
        <f t="shared" si="24"/>
        <v>0</v>
      </c>
      <c r="AJ68" s="9">
        <f t="shared" si="24"/>
        <v>0</v>
      </c>
      <c r="AK68" s="9">
        <f t="shared" si="24"/>
        <v>0</v>
      </c>
      <c r="AL68" s="9">
        <f t="shared" si="24"/>
        <v>0</v>
      </c>
      <c r="AM68" s="9">
        <f t="shared" si="24"/>
        <v>0</v>
      </c>
      <c r="AN68" s="9">
        <f t="shared" si="24"/>
        <v>0</v>
      </c>
      <c r="AO68" s="9">
        <f t="shared" si="24"/>
        <v>0</v>
      </c>
      <c r="AP68" s="9">
        <f t="shared" si="24"/>
        <v>0</v>
      </c>
      <c r="AQ68" s="9">
        <f t="shared" si="24"/>
        <v>0</v>
      </c>
      <c r="AR68" s="9">
        <f t="shared" si="24"/>
        <v>0</v>
      </c>
      <c r="AS68" s="9">
        <f t="shared" si="24"/>
        <v>0</v>
      </c>
      <c r="AT68" s="365">
        <f t="shared" si="25"/>
        <v>0</v>
      </c>
      <c r="AU68" s="416"/>
      <c r="AV68" s="7">
        <f t="shared" si="20"/>
        <v>0</v>
      </c>
      <c r="AW68" s="7">
        <f t="shared" si="26"/>
        <v>0</v>
      </c>
      <c r="AX68" s="7">
        <f t="shared" si="26"/>
        <v>0</v>
      </c>
      <c r="AY68" s="7">
        <f t="shared" si="26"/>
        <v>0</v>
      </c>
      <c r="AZ68" s="7">
        <f t="shared" si="26"/>
        <v>0</v>
      </c>
      <c r="BA68" s="7">
        <f t="shared" si="26"/>
        <v>0</v>
      </c>
      <c r="BB68" s="7">
        <f t="shared" si="26"/>
        <v>0</v>
      </c>
      <c r="BC68" s="7">
        <f t="shared" si="26"/>
        <v>0</v>
      </c>
      <c r="BD68" s="7">
        <f t="shared" si="26"/>
        <v>0</v>
      </c>
      <c r="BE68" s="7">
        <f t="shared" si="26"/>
        <v>0</v>
      </c>
      <c r="BF68" s="7">
        <f t="shared" si="26"/>
        <v>0</v>
      </c>
      <c r="BG68" s="7">
        <f t="shared" si="26"/>
        <v>0</v>
      </c>
      <c r="BH68" s="7">
        <f t="shared" si="26"/>
        <v>0</v>
      </c>
      <c r="BI68" s="420">
        <f t="shared" si="23"/>
        <v>0</v>
      </c>
    </row>
    <row r="69" spans="1:61">
      <c r="A69" s="1" t="s">
        <v>531</v>
      </c>
      <c r="B69" s="42">
        <v>15062715</v>
      </c>
      <c r="C69" s="11"/>
      <c r="D69" s="11" t="s">
        <v>917</v>
      </c>
      <c r="E69" s="11"/>
      <c r="F69" s="340"/>
      <c r="G69" s="11"/>
      <c r="H69" s="11">
        <v>218</v>
      </c>
      <c r="I69" s="11"/>
      <c r="J69" s="11"/>
      <c r="K69" s="11"/>
      <c r="L69" s="11"/>
      <c r="M69" s="11"/>
      <c r="N69" s="11"/>
      <c r="O69" s="136"/>
      <c r="P69" s="136"/>
      <c r="Q69" s="136"/>
      <c r="R69" s="136"/>
      <c r="S69" s="136"/>
      <c r="T69" s="347">
        <v>785.55</v>
      </c>
      <c r="U69" s="347">
        <v>28061.56</v>
      </c>
      <c r="V69" s="212">
        <v>58104</v>
      </c>
      <c r="W69" s="462">
        <v>25769.29</v>
      </c>
      <c r="X69" s="220">
        <v>4993</v>
      </c>
      <c r="Y69" s="304">
        <v>5238</v>
      </c>
      <c r="Z69" s="172">
        <v>13667</v>
      </c>
      <c r="AA69" s="312">
        <f t="shared" si="27"/>
        <v>135832.85</v>
      </c>
      <c r="AB69" s="390">
        <f t="shared" ref="AB69:AB74" si="28">SUM(O69:Z69)</f>
        <v>136618.4</v>
      </c>
      <c r="AD69" s="9">
        <f t="shared" si="21"/>
        <v>0</v>
      </c>
      <c r="AE69" s="9">
        <f t="shared" si="24"/>
        <v>0</v>
      </c>
      <c r="AF69" s="9">
        <f t="shared" si="24"/>
        <v>0</v>
      </c>
      <c r="AG69" s="9">
        <f t="shared" si="24"/>
        <v>135832.85</v>
      </c>
      <c r="AH69" s="9">
        <f t="shared" si="24"/>
        <v>0</v>
      </c>
      <c r="AI69" s="9">
        <f t="shared" si="24"/>
        <v>0</v>
      </c>
      <c r="AJ69" s="9">
        <f t="shared" si="24"/>
        <v>0</v>
      </c>
      <c r="AK69" s="9">
        <f t="shared" si="24"/>
        <v>0</v>
      </c>
      <c r="AL69" s="9">
        <f t="shared" si="24"/>
        <v>0</v>
      </c>
      <c r="AM69" s="9">
        <f t="shared" si="24"/>
        <v>0</v>
      </c>
      <c r="AN69" s="9">
        <f t="shared" si="24"/>
        <v>0</v>
      </c>
      <c r="AO69" s="9">
        <f t="shared" si="24"/>
        <v>0</v>
      </c>
      <c r="AP69" s="9">
        <f t="shared" si="24"/>
        <v>0</v>
      </c>
      <c r="AQ69" s="9">
        <f t="shared" si="24"/>
        <v>0</v>
      </c>
      <c r="AR69" s="9">
        <f t="shared" si="24"/>
        <v>0</v>
      </c>
      <c r="AS69" s="9">
        <f t="shared" si="24"/>
        <v>0</v>
      </c>
      <c r="AT69" s="365">
        <f t="shared" si="25"/>
        <v>135832.85</v>
      </c>
      <c r="AU69" s="416"/>
      <c r="AV69" s="7">
        <f t="shared" si="20"/>
        <v>0</v>
      </c>
      <c r="AW69" s="7">
        <f t="shared" si="26"/>
        <v>0</v>
      </c>
      <c r="AX69" s="7">
        <f t="shared" si="26"/>
        <v>0</v>
      </c>
      <c r="AY69" s="7">
        <f t="shared" si="26"/>
        <v>218</v>
      </c>
      <c r="AZ69" s="7">
        <f t="shared" si="26"/>
        <v>0</v>
      </c>
      <c r="BA69" s="7">
        <f t="shared" si="26"/>
        <v>0</v>
      </c>
      <c r="BB69" s="7">
        <f t="shared" si="26"/>
        <v>0</v>
      </c>
      <c r="BC69" s="7">
        <f t="shared" si="26"/>
        <v>0</v>
      </c>
      <c r="BD69" s="7">
        <f t="shared" si="26"/>
        <v>0</v>
      </c>
      <c r="BE69" s="7">
        <f t="shared" si="26"/>
        <v>0</v>
      </c>
      <c r="BF69" s="7">
        <f t="shared" si="26"/>
        <v>0</v>
      </c>
      <c r="BG69" s="7">
        <f t="shared" si="26"/>
        <v>0</v>
      </c>
      <c r="BH69" s="7">
        <f t="shared" si="26"/>
        <v>0</v>
      </c>
      <c r="BI69" s="420">
        <f t="shared" si="23"/>
        <v>218</v>
      </c>
    </row>
    <row r="70" spans="1:61">
      <c r="A70" s="1" t="s">
        <v>531</v>
      </c>
      <c r="B70" s="42">
        <v>15065301</v>
      </c>
      <c r="C70" s="11"/>
      <c r="D70" s="11" t="s">
        <v>918</v>
      </c>
      <c r="E70" s="11"/>
      <c r="F70" s="340"/>
      <c r="G70" s="11"/>
      <c r="H70" s="11">
        <v>119</v>
      </c>
      <c r="I70" s="11"/>
      <c r="J70" s="11"/>
      <c r="K70" s="11"/>
      <c r="L70" s="11"/>
      <c r="M70" s="11"/>
      <c r="N70" s="11"/>
      <c r="O70" s="136"/>
      <c r="P70" s="136"/>
      <c r="Q70" s="136"/>
      <c r="R70" s="136"/>
      <c r="S70" s="136"/>
      <c r="T70" s="347">
        <v>68.510000000000005</v>
      </c>
      <c r="U70" s="347">
        <v>5963.94</v>
      </c>
      <c r="V70" s="212">
        <v>19436</v>
      </c>
      <c r="W70" s="347">
        <v>11059</v>
      </c>
      <c r="X70" s="220">
        <v>4750</v>
      </c>
      <c r="Y70" s="304">
        <v>6751</v>
      </c>
      <c r="Z70" s="172">
        <v>12746</v>
      </c>
      <c r="AA70" s="312">
        <f t="shared" si="27"/>
        <v>60705.94</v>
      </c>
      <c r="AB70" s="390">
        <f t="shared" si="28"/>
        <v>60774.45</v>
      </c>
      <c r="AD70" s="9">
        <f t="shared" si="21"/>
        <v>0</v>
      </c>
      <c r="AE70" s="9">
        <f t="shared" si="24"/>
        <v>0</v>
      </c>
      <c r="AF70" s="9">
        <f t="shared" si="24"/>
        <v>0</v>
      </c>
      <c r="AG70" s="9">
        <f t="shared" si="24"/>
        <v>60705.94</v>
      </c>
      <c r="AH70" s="9">
        <f t="shared" si="24"/>
        <v>0</v>
      </c>
      <c r="AI70" s="9">
        <f t="shared" si="24"/>
        <v>0</v>
      </c>
      <c r="AJ70" s="9">
        <f t="shared" si="24"/>
        <v>0</v>
      </c>
      <c r="AK70" s="9">
        <f t="shared" si="24"/>
        <v>0</v>
      </c>
      <c r="AL70" s="9">
        <f t="shared" si="24"/>
        <v>0</v>
      </c>
      <c r="AM70" s="9">
        <f t="shared" si="24"/>
        <v>0</v>
      </c>
      <c r="AN70" s="9">
        <f t="shared" si="24"/>
        <v>0</v>
      </c>
      <c r="AO70" s="9">
        <f t="shared" si="24"/>
        <v>0</v>
      </c>
      <c r="AP70" s="9">
        <f t="shared" si="24"/>
        <v>0</v>
      </c>
      <c r="AQ70" s="9">
        <f t="shared" si="24"/>
        <v>0</v>
      </c>
      <c r="AR70" s="9">
        <f t="shared" si="24"/>
        <v>0</v>
      </c>
      <c r="AS70" s="9">
        <f t="shared" si="24"/>
        <v>0</v>
      </c>
      <c r="AT70" s="365">
        <f t="shared" si="25"/>
        <v>60705.94</v>
      </c>
      <c r="AU70" s="416"/>
      <c r="AV70" s="7">
        <f t="shared" si="20"/>
        <v>0</v>
      </c>
      <c r="AW70" s="7">
        <f t="shared" si="26"/>
        <v>0</v>
      </c>
      <c r="AX70" s="7">
        <f t="shared" si="26"/>
        <v>0</v>
      </c>
      <c r="AY70" s="7">
        <f t="shared" si="26"/>
        <v>119</v>
      </c>
      <c r="AZ70" s="7">
        <f t="shared" si="26"/>
        <v>0</v>
      </c>
      <c r="BA70" s="7">
        <f t="shared" si="26"/>
        <v>0</v>
      </c>
      <c r="BB70" s="7">
        <f t="shared" si="26"/>
        <v>0</v>
      </c>
      <c r="BC70" s="7">
        <f t="shared" si="26"/>
        <v>0</v>
      </c>
      <c r="BD70" s="7">
        <f t="shared" si="26"/>
        <v>0</v>
      </c>
      <c r="BE70" s="7">
        <f t="shared" si="26"/>
        <v>0</v>
      </c>
      <c r="BF70" s="7">
        <f t="shared" si="26"/>
        <v>0</v>
      </c>
      <c r="BG70" s="7">
        <f t="shared" si="26"/>
        <v>0</v>
      </c>
      <c r="BH70" s="7">
        <f t="shared" si="26"/>
        <v>0</v>
      </c>
      <c r="BI70" s="420">
        <f t="shared" si="23"/>
        <v>119</v>
      </c>
    </row>
    <row r="71" spans="1:61">
      <c r="A71" s="1" t="s">
        <v>537</v>
      </c>
      <c r="B71" s="4">
        <v>7006300</v>
      </c>
      <c r="C71" s="1" t="s">
        <v>261</v>
      </c>
      <c r="D71" s="1" t="s">
        <v>261</v>
      </c>
      <c r="E71" s="338">
        <v>34486</v>
      </c>
      <c r="G71" s="1" t="s">
        <v>814</v>
      </c>
      <c r="H71" s="7">
        <v>67</v>
      </c>
      <c r="I71" s="7">
        <v>0</v>
      </c>
      <c r="J71" s="1" t="s">
        <v>751</v>
      </c>
      <c r="K71" s="1" t="s">
        <v>813</v>
      </c>
      <c r="L71" s="1" t="s">
        <v>745</v>
      </c>
      <c r="M71" s="333" t="s">
        <v>744</v>
      </c>
      <c r="N71" s="332">
        <v>40513</v>
      </c>
      <c r="O71" s="181">
        <v>13828.47</v>
      </c>
      <c r="P71" s="184">
        <v>12959.43</v>
      </c>
      <c r="Q71" s="229">
        <v>16349.01</v>
      </c>
      <c r="R71" s="192">
        <v>22698.63</v>
      </c>
      <c r="S71" s="195">
        <v>12886.62</v>
      </c>
      <c r="T71" s="238">
        <v>10158.57</v>
      </c>
      <c r="U71" s="347">
        <v>10683.41</v>
      </c>
      <c r="V71" s="212">
        <v>12400.77</v>
      </c>
      <c r="W71" s="217">
        <v>5301.94</v>
      </c>
      <c r="X71" s="220">
        <v>852.53</v>
      </c>
      <c r="Y71" s="304">
        <v>2064.0100000000002</v>
      </c>
      <c r="Z71" s="172">
        <v>3997.48</v>
      </c>
      <c r="AA71" s="312">
        <f t="shared" si="27"/>
        <v>35300.14</v>
      </c>
      <c r="AB71" s="384">
        <f t="shared" si="28"/>
        <v>124180.87000000001</v>
      </c>
      <c r="AD71" s="9">
        <f t="shared" si="21"/>
        <v>0</v>
      </c>
      <c r="AE71" s="9">
        <f t="shared" si="24"/>
        <v>35300.14</v>
      </c>
      <c r="AF71" s="9">
        <f t="shared" si="24"/>
        <v>0</v>
      </c>
      <c r="AG71" s="9">
        <f t="shared" si="24"/>
        <v>0</v>
      </c>
      <c r="AH71" s="9">
        <f t="shared" si="24"/>
        <v>0</v>
      </c>
      <c r="AI71" s="9">
        <f t="shared" si="24"/>
        <v>0</v>
      </c>
      <c r="AJ71" s="9">
        <f t="shared" si="24"/>
        <v>0</v>
      </c>
      <c r="AK71" s="9">
        <f t="shared" si="24"/>
        <v>0</v>
      </c>
      <c r="AL71" s="9">
        <f t="shared" si="24"/>
        <v>0</v>
      </c>
      <c r="AM71" s="9">
        <f t="shared" si="24"/>
        <v>0</v>
      </c>
      <c r="AN71" s="9">
        <f t="shared" si="24"/>
        <v>0</v>
      </c>
      <c r="AO71" s="9">
        <f t="shared" si="24"/>
        <v>0</v>
      </c>
      <c r="AP71" s="9">
        <f t="shared" si="24"/>
        <v>0</v>
      </c>
      <c r="AQ71" s="9">
        <f t="shared" si="24"/>
        <v>0</v>
      </c>
      <c r="AR71" s="9">
        <f t="shared" si="24"/>
        <v>0</v>
      </c>
      <c r="AS71" s="9">
        <f t="shared" si="24"/>
        <v>0</v>
      </c>
      <c r="AT71" s="365">
        <f t="shared" si="25"/>
        <v>35300.14</v>
      </c>
      <c r="AU71" s="416"/>
      <c r="AV71" s="7">
        <f t="shared" si="20"/>
        <v>0</v>
      </c>
      <c r="AW71" s="7">
        <f t="shared" si="26"/>
        <v>67</v>
      </c>
      <c r="AX71" s="7">
        <f t="shared" si="26"/>
        <v>0</v>
      </c>
      <c r="AY71" s="7">
        <f t="shared" si="26"/>
        <v>0</v>
      </c>
      <c r="AZ71" s="7">
        <f t="shared" si="26"/>
        <v>0</v>
      </c>
      <c r="BA71" s="7">
        <f t="shared" si="26"/>
        <v>0</v>
      </c>
      <c r="BB71" s="7">
        <f t="shared" si="26"/>
        <v>0</v>
      </c>
      <c r="BC71" s="7">
        <f t="shared" si="26"/>
        <v>0</v>
      </c>
      <c r="BD71" s="7">
        <f t="shared" si="26"/>
        <v>0</v>
      </c>
      <c r="BE71" s="7">
        <f t="shared" si="26"/>
        <v>0</v>
      </c>
      <c r="BF71" s="7">
        <f t="shared" si="26"/>
        <v>0</v>
      </c>
      <c r="BG71" s="7">
        <f t="shared" si="26"/>
        <v>0</v>
      </c>
      <c r="BH71" s="7">
        <f t="shared" si="26"/>
        <v>0</v>
      </c>
      <c r="BI71" s="420">
        <f t="shared" si="23"/>
        <v>67</v>
      </c>
    </row>
    <row r="72" spans="1:61">
      <c r="A72" s="1" t="s">
        <v>533</v>
      </c>
      <c r="B72" s="4">
        <v>7008700</v>
      </c>
      <c r="C72" s="1" t="s">
        <v>109</v>
      </c>
      <c r="D72" s="1" t="s">
        <v>109</v>
      </c>
      <c r="E72" s="7" t="s">
        <v>794</v>
      </c>
      <c r="F72" s="7">
        <v>773</v>
      </c>
      <c r="G72" s="1" t="s">
        <v>795</v>
      </c>
      <c r="H72" s="7">
        <v>200</v>
      </c>
      <c r="I72" s="7"/>
      <c r="K72" s="1" t="s">
        <v>796</v>
      </c>
      <c r="L72" s="1" t="s">
        <v>745</v>
      </c>
      <c r="M72" s="333" t="s">
        <v>744</v>
      </c>
      <c r="N72" s="332">
        <v>40517</v>
      </c>
      <c r="O72" s="181">
        <v>523.42999999999995</v>
      </c>
      <c r="P72" s="184">
        <v>1093.7</v>
      </c>
      <c r="Q72" s="229">
        <v>4098.28</v>
      </c>
      <c r="R72" s="192">
        <v>1957.72</v>
      </c>
      <c r="S72" s="195">
        <v>1824.87</v>
      </c>
      <c r="T72" s="347">
        <v>807.93</v>
      </c>
      <c r="U72" s="347">
        <v>197.2</v>
      </c>
      <c r="V72" s="212">
        <v>97.5</v>
      </c>
      <c r="W72" s="217">
        <v>207.4</v>
      </c>
      <c r="X72" s="220">
        <v>174.25</v>
      </c>
      <c r="Y72" s="304">
        <v>53.98</v>
      </c>
      <c r="Z72" s="172">
        <v>50.39</v>
      </c>
      <c r="AA72" s="312">
        <f t="shared" si="27"/>
        <v>780.72</v>
      </c>
      <c r="AB72" s="398">
        <f t="shared" si="28"/>
        <v>11086.65</v>
      </c>
      <c r="AD72" s="9">
        <f t="shared" si="21"/>
        <v>0</v>
      </c>
      <c r="AE72" s="9">
        <f t="shared" si="24"/>
        <v>0</v>
      </c>
      <c r="AF72" s="9">
        <f t="shared" si="24"/>
        <v>0</v>
      </c>
      <c r="AG72" s="9">
        <f t="shared" si="24"/>
        <v>0</v>
      </c>
      <c r="AH72" s="9">
        <f t="shared" si="24"/>
        <v>0</v>
      </c>
      <c r="AI72" s="9">
        <f t="shared" si="24"/>
        <v>0</v>
      </c>
      <c r="AJ72" s="9">
        <f t="shared" si="24"/>
        <v>0</v>
      </c>
      <c r="AK72" s="9">
        <f t="shared" si="24"/>
        <v>0</v>
      </c>
      <c r="AL72" s="9">
        <f t="shared" si="24"/>
        <v>0</v>
      </c>
      <c r="AM72" s="9">
        <f t="shared" si="24"/>
        <v>780.72</v>
      </c>
      <c r="AN72" s="9">
        <f t="shared" si="24"/>
        <v>0</v>
      </c>
      <c r="AO72" s="9">
        <f t="shared" si="24"/>
        <v>0</v>
      </c>
      <c r="AP72" s="9">
        <f t="shared" si="24"/>
        <v>0</v>
      </c>
      <c r="AQ72" s="9">
        <f t="shared" si="24"/>
        <v>0</v>
      </c>
      <c r="AR72" s="9">
        <f t="shared" si="24"/>
        <v>0</v>
      </c>
      <c r="AS72" s="9">
        <f t="shared" si="24"/>
        <v>0</v>
      </c>
      <c r="AT72" s="365">
        <f t="shared" si="25"/>
        <v>780.72</v>
      </c>
      <c r="AU72" s="416"/>
      <c r="AV72" s="7">
        <f t="shared" si="20"/>
        <v>0</v>
      </c>
      <c r="AW72" s="7">
        <f t="shared" si="26"/>
        <v>0</v>
      </c>
      <c r="AX72" s="7">
        <f t="shared" si="26"/>
        <v>0</v>
      </c>
      <c r="AY72" s="7">
        <f t="shared" si="26"/>
        <v>0</v>
      </c>
      <c r="AZ72" s="7">
        <f t="shared" si="26"/>
        <v>0</v>
      </c>
      <c r="BA72" s="7">
        <f t="shared" si="26"/>
        <v>0</v>
      </c>
      <c r="BB72" s="7">
        <f t="shared" si="26"/>
        <v>0</v>
      </c>
      <c r="BC72" s="7">
        <f t="shared" si="26"/>
        <v>0</v>
      </c>
      <c r="BD72" s="7">
        <f t="shared" si="26"/>
        <v>200</v>
      </c>
      <c r="BE72" s="7">
        <f t="shared" si="26"/>
        <v>0</v>
      </c>
      <c r="BF72" s="7">
        <f t="shared" si="26"/>
        <v>0</v>
      </c>
      <c r="BG72" s="7">
        <f t="shared" si="26"/>
        <v>0</v>
      </c>
      <c r="BH72" s="7">
        <f t="shared" si="26"/>
        <v>0</v>
      </c>
      <c r="BI72" s="420">
        <f t="shared" si="23"/>
        <v>200</v>
      </c>
    </row>
    <row r="73" spans="1:61">
      <c r="A73" s="1" t="s">
        <v>970</v>
      </c>
      <c r="B73" s="42">
        <v>15052031</v>
      </c>
      <c r="C73" s="11" t="s">
        <v>711</v>
      </c>
      <c r="D73" s="11" t="s">
        <v>711</v>
      </c>
      <c r="E73" s="11"/>
      <c r="F73" s="340"/>
      <c r="G73" s="11"/>
      <c r="H73" s="11"/>
      <c r="I73" s="11"/>
      <c r="J73" s="11"/>
      <c r="K73" s="11"/>
      <c r="L73" s="11"/>
      <c r="M73" s="11"/>
      <c r="N73" s="11"/>
      <c r="O73" s="136"/>
      <c r="P73" s="229">
        <v>857.34</v>
      </c>
      <c r="Q73" s="229">
        <v>986.1</v>
      </c>
      <c r="R73" s="136"/>
      <c r="S73" s="136"/>
      <c r="T73" s="136"/>
      <c r="U73" s="136"/>
      <c r="V73" s="136"/>
      <c r="W73" s="136"/>
      <c r="X73" s="136"/>
      <c r="Y73" s="136"/>
      <c r="Z73" s="136"/>
      <c r="AA73" s="312">
        <f t="shared" si="27"/>
        <v>0</v>
      </c>
      <c r="AB73" s="384">
        <f t="shared" si="28"/>
        <v>1843.44</v>
      </c>
      <c r="AD73" s="9">
        <f t="shared" si="21"/>
        <v>0</v>
      </c>
      <c r="AE73" s="9">
        <f t="shared" si="24"/>
        <v>0</v>
      </c>
      <c r="AF73" s="9">
        <f t="shared" si="24"/>
        <v>0</v>
      </c>
      <c r="AG73" s="9">
        <f t="shared" si="24"/>
        <v>0</v>
      </c>
      <c r="AH73" s="9">
        <f t="shared" si="24"/>
        <v>0</v>
      </c>
      <c r="AI73" s="9">
        <f t="shared" si="24"/>
        <v>0</v>
      </c>
      <c r="AJ73" s="9">
        <f t="shared" si="24"/>
        <v>0</v>
      </c>
      <c r="AK73" s="9">
        <f t="shared" si="24"/>
        <v>0</v>
      </c>
      <c r="AL73" s="9">
        <f t="shared" si="24"/>
        <v>0</v>
      </c>
      <c r="AM73" s="9">
        <f t="shared" si="24"/>
        <v>0</v>
      </c>
      <c r="AN73" s="9">
        <f t="shared" si="24"/>
        <v>0</v>
      </c>
      <c r="AO73" s="9">
        <f t="shared" si="24"/>
        <v>0</v>
      </c>
      <c r="AP73" s="9">
        <f t="shared" si="24"/>
        <v>0</v>
      </c>
      <c r="AQ73" s="9">
        <f t="shared" si="24"/>
        <v>0</v>
      </c>
      <c r="AR73" s="9">
        <f t="shared" si="24"/>
        <v>0</v>
      </c>
      <c r="AS73" s="9">
        <f t="shared" si="24"/>
        <v>0</v>
      </c>
      <c r="AT73" s="365">
        <f t="shared" si="25"/>
        <v>0</v>
      </c>
      <c r="AU73" s="416"/>
      <c r="AV73" s="7">
        <f t="shared" si="20"/>
        <v>0</v>
      </c>
      <c r="AW73" s="7">
        <f t="shared" si="26"/>
        <v>0</v>
      </c>
      <c r="AX73" s="7">
        <f t="shared" si="26"/>
        <v>0</v>
      </c>
      <c r="AY73" s="7">
        <f t="shared" si="26"/>
        <v>0</v>
      </c>
      <c r="AZ73" s="7">
        <f t="shared" si="26"/>
        <v>0</v>
      </c>
      <c r="BA73" s="7">
        <f t="shared" si="26"/>
        <v>0</v>
      </c>
      <c r="BB73" s="7">
        <f t="shared" si="26"/>
        <v>0</v>
      </c>
      <c r="BC73" s="7">
        <f t="shared" si="26"/>
        <v>0</v>
      </c>
      <c r="BD73" s="7">
        <f t="shared" si="26"/>
        <v>0</v>
      </c>
      <c r="BE73" s="7">
        <f t="shared" si="26"/>
        <v>0</v>
      </c>
      <c r="BF73" s="7">
        <f t="shared" si="26"/>
        <v>0</v>
      </c>
      <c r="BG73" s="7">
        <f t="shared" si="26"/>
        <v>0</v>
      </c>
      <c r="BH73" s="7">
        <f t="shared" si="26"/>
        <v>0</v>
      </c>
      <c r="BI73" s="420">
        <f t="shared" si="23"/>
        <v>0</v>
      </c>
    </row>
    <row r="74" spans="1:61">
      <c r="A74" s="1" t="s">
        <v>970</v>
      </c>
      <c r="B74" s="4">
        <v>7008800</v>
      </c>
      <c r="C74" s="1" t="s">
        <v>88</v>
      </c>
      <c r="D74" s="1" t="s">
        <v>88</v>
      </c>
      <c r="E74" s="7">
        <v>2002</v>
      </c>
      <c r="F74" s="7">
        <v>534</v>
      </c>
      <c r="G74" s="1" t="s">
        <v>793</v>
      </c>
      <c r="H74" s="7">
        <v>7</v>
      </c>
      <c r="I74" s="7">
        <v>0</v>
      </c>
      <c r="K74" s="1" t="s">
        <v>431</v>
      </c>
      <c r="L74" s="1" t="s">
        <v>745</v>
      </c>
      <c r="M74" s="333" t="s">
        <v>744</v>
      </c>
      <c r="N74" s="332">
        <v>40508</v>
      </c>
      <c r="O74" s="181">
        <v>1061.92</v>
      </c>
      <c r="P74" s="136"/>
      <c r="Q74" s="136"/>
      <c r="R74" s="192">
        <v>1420.44</v>
      </c>
      <c r="S74" s="195">
        <v>650.03</v>
      </c>
      <c r="T74" s="238">
        <v>223.14</v>
      </c>
      <c r="U74" s="347">
        <v>161.35</v>
      </c>
      <c r="V74" s="212">
        <v>634.95000000000005</v>
      </c>
      <c r="W74" s="217">
        <v>44.72</v>
      </c>
      <c r="X74" s="136"/>
      <c r="Y74" s="304">
        <v>129.54</v>
      </c>
      <c r="Z74" s="172">
        <v>81.790000000000006</v>
      </c>
      <c r="AA74" s="312">
        <f t="shared" si="27"/>
        <v>1052.3500000000001</v>
      </c>
      <c r="AB74" s="392">
        <f t="shared" si="28"/>
        <v>4407.88</v>
      </c>
      <c r="AD74" s="9">
        <f t="shared" si="21"/>
        <v>0</v>
      </c>
      <c r="AE74" s="9">
        <f t="shared" si="24"/>
        <v>0</v>
      </c>
      <c r="AF74" s="9">
        <f t="shared" si="24"/>
        <v>0</v>
      </c>
      <c r="AG74" s="9">
        <f t="shared" si="24"/>
        <v>0</v>
      </c>
      <c r="AH74" s="9">
        <f t="shared" si="24"/>
        <v>0</v>
      </c>
      <c r="AI74" s="9">
        <f t="shared" si="24"/>
        <v>0</v>
      </c>
      <c r="AJ74" s="9">
        <f t="shared" si="24"/>
        <v>0</v>
      </c>
      <c r="AK74" s="9">
        <f t="shared" si="24"/>
        <v>0</v>
      </c>
      <c r="AL74" s="9">
        <f t="shared" si="24"/>
        <v>0</v>
      </c>
      <c r="AM74" s="9">
        <f t="shared" si="24"/>
        <v>0</v>
      </c>
      <c r="AN74" s="9">
        <f t="shared" si="24"/>
        <v>0</v>
      </c>
      <c r="AO74" s="9">
        <f t="shared" si="24"/>
        <v>0</v>
      </c>
      <c r="AP74" s="9">
        <f t="shared" si="24"/>
        <v>0</v>
      </c>
      <c r="AQ74" s="9">
        <f t="shared" si="24"/>
        <v>0</v>
      </c>
      <c r="AR74" s="9">
        <f t="shared" si="24"/>
        <v>1052.3500000000001</v>
      </c>
      <c r="AS74" s="9">
        <f t="shared" si="24"/>
        <v>0</v>
      </c>
      <c r="AT74" s="365">
        <f t="shared" si="25"/>
        <v>1052.3500000000001</v>
      </c>
      <c r="AU74" s="416"/>
      <c r="AV74" s="7">
        <f t="shared" si="20"/>
        <v>0</v>
      </c>
      <c r="AW74" s="7">
        <f t="shared" si="26"/>
        <v>0</v>
      </c>
      <c r="AX74" s="7">
        <f t="shared" si="26"/>
        <v>0</v>
      </c>
      <c r="AY74" s="7">
        <f t="shared" si="26"/>
        <v>0</v>
      </c>
      <c r="AZ74" s="7">
        <f t="shared" si="26"/>
        <v>0</v>
      </c>
      <c r="BA74" s="7">
        <f t="shared" si="26"/>
        <v>0</v>
      </c>
      <c r="BB74" s="7">
        <f t="shared" si="26"/>
        <v>0</v>
      </c>
      <c r="BC74" s="7">
        <f t="shared" si="26"/>
        <v>0</v>
      </c>
      <c r="BD74" s="7">
        <f t="shared" si="26"/>
        <v>0</v>
      </c>
      <c r="BE74" s="7">
        <f t="shared" si="26"/>
        <v>0</v>
      </c>
      <c r="BF74" s="7">
        <f t="shared" si="26"/>
        <v>0</v>
      </c>
      <c r="BG74" s="7">
        <f t="shared" si="26"/>
        <v>0</v>
      </c>
      <c r="BH74" s="7">
        <f t="shared" si="26"/>
        <v>0</v>
      </c>
      <c r="BI74" s="420">
        <f t="shared" si="23"/>
        <v>0</v>
      </c>
    </row>
    <row r="75" spans="1:61" s="17" customFormat="1" ht="10.5">
      <c r="A75" s="1" t="s">
        <v>970</v>
      </c>
      <c r="B75" s="42">
        <v>15059608</v>
      </c>
      <c r="C75" s="11" t="s">
        <v>847</v>
      </c>
      <c r="D75" s="11" t="s">
        <v>847</v>
      </c>
      <c r="E75" s="11"/>
      <c r="F75" s="340"/>
      <c r="G75" s="11"/>
      <c r="H75" s="11"/>
      <c r="I75" s="11"/>
      <c r="J75" s="11"/>
      <c r="K75" s="11"/>
      <c r="L75" s="11"/>
      <c r="M75" s="11"/>
      <c r="N75" s="11"/>
      <c r="O75" s="136"/>
      <c r="P75" s="184">
        <v>837.94</v>
      </c>
      <c r="Q75" s="229">
        <v>236.83</v>
      </c>
      <c r="R75" s="192">
        <v>307.87</v>
      </c>
      <c r="S75" s="195">
        <v>197.12</v>
      </c>
      <c r="T75" s="238">
        <v>113.56</v>
      </c>
      <c r="U75" s="136"/>
      <c r="V75" s="212">
        <v>80.25</v>
      </c>
      <c r="W75" s="136"/>
      <c r="X75" s="136"/>
      <c r="Y75" s="136"/>
      <c r="Z75" s="136"/>
      <c r="AA75" s="312">
        <f t="shared" si="27"/>
        <v>80.25</v>
      </c>
      <c r="AB75" s="392">
        <f t="shared" ref="AB75:AB81" si="29">SUM(O75:Z75)</f>
        <v>1773.5699999999997</v>
      </c>
      <c r="AC75" s="1"/>
      <c r="AD75" s="9">
        <f t="shared" si="21"/>
        <v>0</v>
      </c>
      <c r="AE75" s="9">
        <f t="shared" si="24"/>
        <v>0</v>
      </c>
      <c r="AF75" s="9">
        <f t="shared" si="24"/>
        <v>0</v>
      </c>
      <c r="AG75" s="9">
        <f t="shared" si="24"/>
        <v>0</v>
      </c>
      <c r="AH75" s="9">
        <f t="shared" si="24"/>
        <v>0</v>
      </c>
      <c r="AI75" s="9">
        <f t="shared" si="24"/>
        <v>0</v>
      </c>
      <c r="AJ75" s="9">
        <f t="shared" si="24"/>
        <v>0</v>
      </c>
      <c r="AK75" s="9">
        <f t="shared" si="24"/>
        <v>0</v>
      </c>
      <c r="AL75" s="9">
        <f t="shared" si="24"/>
        <v>0</v>
      </c>
      <c r="AM75" s="9">
        <f t="shared" si="24"/>
        <v>0</v>
      </c>
      <c r="AN75" s="9">
        <f t="shared" si="24"/>
        <v>0</v>
      </c>
      <c r="AO75" s="9">
        <f t="shared" si="24"/>
        <v>0</v>
      </c>
      <c r="AP75" s="9">
        <f t="shared" si="24"/>
        <v>0</v>
      </c>
      <c r="AQ75" s="9">
        <f t="shared" si="24"/>
        <v>0</v>
      </c>
      <c r="AR75" s="9">
        <f t="shared" si="24"/>
        <v>80.25</v>
      </c>
      <c r="AS75" s="9">
        <f t="shared" si="24"/>
        <v>0</v>
      </c>
      <c r="AT75" s="365">
        <f t="shared" si="25"/>
        <v>80.25</v>
      </c>
      <c r="AU75" s="416"/>
      <c r="AV75" s="7">
        <f t="shared" si="20"/>
        <v>0</v>
      </c>
      <c r="AW75" s="7">
        <f t="shared" si="26"/>
        <v>0</v>
      </c>
      <c r="AX75" s="7">
        <f t="shared" si="26"/>
        <v>0</v>
      </c>
      <c r="AY75" s="7">
        <f t="shared" si="26"/>
        <v>0</v>
      </c>
      <c r="AZ75" s="7">
        <f t="shared" si="26"/>
        <v>0</v>
      </c>
      <c r="BA75" s="7">
        <f t="shared" si="26"/>
        <v>0</v>
      </c>
      <c r="BB75" s="7">
        <f t="shared" si="26"/>
        <v>0</v>
      </c>
      <c r="BC75" s="7">
        <f t="shared" si="26"/>
        <v>0</v>
      </c>
      <c r="BD75" s="7">
        <f t="shared" si="26"/>
        <v>0</v>
      </c>
      <c r="BE75" s="7">
        <f t="shared" si="26"/>
        <v>0</v>
      </c>
      <c r="BF75" s="7">
        <f t="shared" si="26"/>
        <v>0</v>
      </c>
      <c r="BG75" s="7">
        <f t="shared" si="26"/>
        <v>0</v>
      </c>
      <c r="BH75" s="7">
        <f t="shared" si="26"/>
        <v>0</v>
      </c>
      <c r="BI75" s="420">
        <f t="shared" si="23"/>
        <v>0</v>
      </c>
    </row>
    <row r="76" spans="1:61">
      <c r="A76" s="1" t="s">
        <v>663</v>
      </c>
      <c r="B76" s="4">
        <v>15067165</v>
      </c>
      <c r="C76" s="1" t="s">
        <v>264</v>
      </c>
      <c r="D76" s="1" t="s">
        <v>893</v>
      </c>
      <c r="E76" s="7">
        <v>1982</v>
      </c>
      <c r="F76" s="7">
        <v>134</v>
      </c>
      <c r="G76" s="1" t="s">
        <v>809</v>
      </c>
      <c r="H76" s="7">
        <v>409</v>
      </c>
      <c r="I76" s="7">
        <v>26</v>
      </c>
      <c r="J76" s="1" t="s">
        <v>765</v>
      </c>
      <c r="K76" s="1" t="s">
        <v>432</v>
      </c>
      <c r="L76" s="1" t="s">
        <v>745</v>
      </c>
      <c r="M76" s="333" t="s">
        <v>744</v>
      </c>
      <c r="N76" s="332">
        <v>40511</v>
      </c>
      <c r="O76" s="181">
        <v>118799.53</v>
      </c>
      <c r="P76" s="184">
        <v>130628.5</v>
      </c>
      <c r="Q76" s="229">
        <v>111336.73</v>
      </c>
      <c r="R76" s="192">
        <v>164624.84</v>
      </c>
      <c r="S76" s="195">
        <v>96434.03</v>
      </c>
      <c r="T76" s="238">
        <v>49904.23</v>
      </c>
      <c r="U76" s="347">
        <v>58876.9</v>
      </c>
      <c r="V76" s="212">
        <v>64782.48</v>
      </c>
      <c r="W76" s="217">
        <v>29434.34</v>
      </c>
      <c r="X76" s="220">
        <v>3237.67</v>
      </c>
      <c r="Y76" s="304">
        <v>10461.89</v>
      </c>
      <c r="Z76" s="172">
        <v>26098.12</v>
      </c>
      <c r="AA76" s="312">
        <f t="shared" si="27"/>
        <v>192891.40000000002</v>
      </c>
      <c r="AB76" s="384">
        <f t="shared" si="29"/>
        <v>864619.26</v>
      </c>
      <c r="AD76" s="9">
        <f t="shared" si="21"/>
        <v>0</v>
      </c>
      <c r="AE76" s="9">
        <f t="shared" si="24"/>
        <v>0</v>
      </c>
      <c r="AF76" s="9">
        <f t="shared" si="24"/>
        <v>0</v>
      </c>
      <c r="AG76" s="9">
        <f t="shared" si="24"/>
        <v>0</v>
      </c>
      <c r="AH76" s="9">
        <f t="shared" si="24"/>
        <v>0</v>
      </c>
      <c r="AI76" s="9">
        <f t="shared" si="24"/>
        <v>0</v>
      </c>
      <c r="AJ76" s="9">
        <f t="shared" si="24"/>
        <v>0</v>
      </c>
      <c r="AK76" s="9">
        <f t="shared" si="24"/>
        <v>192891.40000000002</v>
      </c>
      <c r="AL76" s="9">
        <f t="shared" si="24"/>
        <v>0</v>
      </c>
      <c r="AM76" s="9">
        <f t="shared" si="24"/>
        <v>0</v>
      </c>
      <c r="AN76" s="9">
        <f t="shared" si="24"/>
        <v>0</v>
      </c>
      <c r="AO76" s="9">
        <f t="shared" si="24"/>
        <v>0</v>
      </c>
      <c r="AP76" s="9">
        <f t="shared" si="24"/>
        <v>0</v>
      </c>
      <c r="AQ76" s="9">
        <f t="shared" si="24"/>
        <v>0</v>
      </c>
      <c r="AR76" s="9">
        <f t="shared" si="24"/>
        <v>0</v>
      </c>
      <c r="AS76" s="9">
        <f t="shared" si="24"/>
        <v>0</v>
      </c>
      <c r="AT76" s="365">
        <f t="shared" si="25"/>
        <v>192891.40000000002</v>
      </c>
      <c r="AU76" s="416"/>
      <c r="AV76" s="7">
        <f t="shared" si="20"/>
        <v>0</v>
      </c>
      <c r="AW76" s="7">
        <f t="shared" si="26"/>
        <v>0</v>
      </c>
      <c r="AX76" s="7">
        <f t="shared" si="26"/>
        <v>0</v>
      </c>
      <c r="AY76" s="7">
        <f t="shared" si="26"/>
        <v>0</v>
      </c>
      <c r="AZ76" s="7">
        <f t="shared" si="26"/>
        <v>0</v>
      </c>
      <c r="BA76" s="7">
        <f t="shared" si="26"/>
        <v>0</v>
      </c>
      <c r="BB76" s="7">
        <f t="shared" si="26"/>
        <v>409</v>
      </c>
      <c r="BC76" s="7">
        <f t="shared" si="26"/>
        <v>0</v>
      </c>
      <c r="BD76" s="7">
        <f t="shared" si="26"/>
        <v>0</v>
      </c>
      <c r="BE76" s="7">
        <f t="shared" si="26"/>
        <v>0</v>
      </c>
      <c r="BF76" s="7">
        <f t="shared" si="26"/>
        <v>0</v>
      </c>
      <c r="BG76" s="7">
        <f t="shared" si="26"/>
        <v>0</v>
      </c>
      <c r="BH76" s="7">
        <f t="shared" si="26"/>
        <v>0</v>
      </c>
      <c r="BI76" s="420">
        <f t="shared" si="23"/>
        <v>409</v>
      </c>
    </row>
    <row r="77" spans="1:61">
      <c r="A77" s="1" t="s">
        <v>970</v>
      </c>
      <c r="B77" s="4">
        <v>15062918</v>
      </c>
      <c r="D77" s="1" t="s">
        <v>888</v>
      </c>
      <c r="O77" s="181">
        <v>210.2</v>
      </c>
      <c r="P77" s="184">
        <v>281.68</v>
      </c>
      <c r="Q77" s="229">
        <v>209.59</v>
      </c>
      <c r="R77" s="136"/>
      <c r="S77" s="136"/>
      <c r="T77" s="238">
        <v>253.74</v>
      </c>
      <c r="U77" s="136"/>
      <c r="V77" s="136"/>
      <c r="W77" s="136"/>
      <c r="X77" s="220">
        <v>120.18</v>
      </c>
      <c r="Y77" s="136"/>
      <c r="Z77" s="136"/>
      <c r="AA77" s="312">
        <f t="shared" si="27"/>
        <v>120.18</v>
      </c>
      <c r="AB77" s="392">
        <f t="shared" si="29"/>
        <v>1075.3900000000001</v>
      </c>
      <c r="AD77" s="9">
        <f t="shared" si="21"/>
        <v>0</v>
      </c>
      <c r="AE77" s="9">
        <f t="shared" si="24"/>
        <v>0</v>
      </c>
      <c r="AF77" s="9">
        <f t="shared" si="24"/>
        <v>0</v>
      </c>
      <c r="AG77" s="9">
        <f t="shared" si="24"/>
        <v>0</v>
      </c>
      <c r="AH77" s="9">
        <f t="shared" si="24"/>
        <v>0</v>
      </c>
      <c r="AI77" s="9">
        <f t="shared" si="24"/>
        <v>0</v>
      </c>
      <c r="AJ77" s="9">
        <f t="shared" si="24"/>
        <v>0</v>
      </c>
      <c r="AK77" s="9">
        <f t="shared" si="24"/>
        <v>0</v>
      </c>
      <c r="AL77" s="9">
        <f t="shared" si="24"/>
        <v>0</v>
      </c>
      <c r="AM77" s="9">
        <f t="shared" si="24"/>
        <v>0</v>
      </c>
      <c r="AN77" s="9">
        <f t="shared" si="24"/>
        <v>0</v>
      </c>
      <c r="AO77" s="9">
        <f t="shared" si="24"/>
        <v>0</v>
      </c>
      <c r="AP77" s="9">
        <f t="shared" si="24"/>
        <v>0</v>
      </c>
      <c r="AQ77" s="9">
        <f t="shared" si="24"/>
        <v>0</v>
      </c>
      <c r="AR77" s="9">
        <f t="shared" si="24"/>
        <v>120.18</v>
      </c>
      <c r="AS77" s="9">
        <f t="shared" si="24"/>
        <v>0</v>
      </c>
      <c r="AT77" s="365">
        <f t="shared" si="25"/>
        <v>120.18</v>
      </c>
      <c r="AU77" s="416"/>
      <c r="AV77" s="7">
        <f t="shared" si="20"/>
        <v>0</v>
      </c>
      <c r="AW77" s="7">
        <f t="shared" si="26"/>
        <v>0</v>
      </c>
      <c r="AX77" s="7">
        <f t="shared" si="26"/>
        <v>0</v>
      </c>
      <c r="AY77" s="7">
        <f t="shared" si="26"/>
        <v>0</v>
      </c>
      <c r="AZ77" s="7">
        <f t="shared" si="26"/>
        <v>0</v>
      </c>
      <c r="BA77" s="7">
        <f t="shared" si="26"/>
        <v>0</v>
      </c>
      <c r="BB77" s="7">
        <f t="shared" si="26"/>
        <v>0</v>
      </c>
      <c r="BC77" s="7">
        <f t="shared" si="26"/>
        <v>0</v>
      </c>
      <c r="BD77" s="7">
        <f t="shared" si="26"/>
        <v>0</v>
      </c>
      <c r="BE77" s="7">
        <f t="shared" si="26"/>
        <v>0</v>
      </c>
      <c r="BF77" s="7">
        <f t="shared" si="26"/>
        <v>0</v>
      </c>
      <c r="BG77" s="7">
        <f t="shared" si="26"/>
        <v>0</v>
      </c>
      <c r="BH77" s="7">
        <f t="shared" si="26"/>
        <v>0</v>
      </c>
      <c r="BI77" s="420">
        <f t="shared" si="23"/>
        <v>0</v>
      </c>
    </row>
    <row r="78" spans="1:61">
      <c r="A78" s="1" t="s">
        <v>659</v>
      </c>
      <c r="B78" s="4">
        <v>7005102</v>
      </c>
      <c r="C78" s="1" t="s">
        <v>633</v>
      </c>
      <c r="D78" s="1" t="s">
        <v>265</v>
      </c>
      <c r="E78" s="338">
        <v>33025</v>
      </c>
      <c r="F78" s="7">
        <v>111</v>
      </c>
      <c r="G78" s="1" t="s">
        <v>783</v>
      </c>
      <c r="H78" s="7">
        <v>99</v>
      </c>
      <c r="I78" s="7">
        <v>0</v>
      </c>
      <c r="J78" s="1" t="s">
        <v>776</v>
      </c>
      <c r="K78" s="1" t="s">
        <v>434</v>
      </c>
      <c r="L78" s="1" t="s">
        <v>745</v>
      </c>
      <c r="M78" s="333" t="s">
        <v>744</v>
      </c>
      <c r="N78" s="332">
        <v>40505</v>
      </c>
      <c r="O78" s="181">
        <v>12679.33</v>
      </c>
      <c r="P78" s="184">
        <v>10586.22</v>
      </c>
      <c r="Q78" s="229">
        <v>10535.25</v>
      </c>
      <c r="R78" s="192">
        <v>13467.05</v>
      </c>
      <c r="S78" s="195">
        <v>7340.33</v>
      </c>
      <c r="T78" s="238">
        <v>6054.94</v>
      </c>
      <c r="U78" s="347">
        <v>5948.1</v>
      </c>
      <c r="V78" s="212">
        <v>7105.48</v>
      </c>
      <c r="W78" s="217">
        <v>5543.45</v>
      </c>
      <c r="X78" s="220">
        <v>5991.25</v>
      </c>
      <c r="Y78" s="304">
        <v>6579.03</v>
      </c>
      <c r="Z78" s="172">
        <v>7425.56</v>
      </c>
      <c r="AA78" s="312">
        <f t="shared" si="27"/>
        <v>38592.869999999995</v>
      </c>
      <c r="AB78" s="384">
        <f t="shared" si="29"/>
        <v>99255.99</v>
      </c>
      <c r="AD78" s="9">
        <f t="shared" si="21"/>
        <v>0</v>
      </c>
      <c r="AE78" s="9">
        <f t="shared" si="24"/>
        <v>0</v>
      </c>
      <c r="AF78" s="9">
        <f t="shared" si="24"/>
        <v>0</v>
      </c>
      <c r="AG78" s="9">
        <f t="shared" si="24"/>
        <v>0</v>
      </c>
      <c r="AH78" s="9">
        <f t="shared" si="24"/>
        <v>0</v>
      </c>
      <c r="AI78" s="9">
        <f t="shared" si="24"/>
        <v>0</v>
      </c>
      <c r="AJ78" s="9">
        <f t="shared" si="24"/>
        <v>0</v>
      </c>
      <c r="AK78" s="9">
        <f t="shared" si="24"/>
        <v>0</v>
      </c>
      <c r="AL78" s="9">
        <f t="shared" si="24"/>
        <v>0</v>
      </c>
      <c r="AM78" s="9">
        <f t="shared" si="24"/>
        <v>0</v>
      </c>
      <c r="AN78" s="9">
        <f t="shared" si="24"/>
        <v>0</v>
      </c>
      <c r="AO78" s="9">
        <f t="shared" si="24"/>
        <v>38592.869999999995</v>
      </c>
      <c r="AP78" s="9">
        <f t="shared" si="24"/>
        <v>0</v>
      </c>
      <c r="AQ78" s="9">
        <f t="shared" si="24"/>
        <v>0</v>
      </c>
      <c r="AR78" s="9">
        <f t="shared" si="24"/>
        <v>0</v>
      </c>
      <c r="AS78" s="9">
        <f t="shared" si="24"/>
        <v>0</v>
      </c>
      <c r="AT78" s="365">
        <f t="shared" si="25"/>
        <v>38592.869999999995</v>
      </c>
      <c r="AU78" s="416"/>
      <c r="AV78" s="7">
        <f t="shared" si="20"/>
        <v>0</v>
      </c>
      <c r="AW78" s="7">
        <f t="shared" si="26"/>
        <v>0</v>
      </c>
      <c r="AX78" s="7">
        <f t="shared" si="26"/>
        <v>0</v>
      </c>
      <c r="AY78" s="7">
        <f t="shared" si="26"/>
        <v>0</v>
      </c>
      <c r="AZ78" s="7">
        <f t="shared" si="26"/>
        <v>0</v>
      </c>
      <c r="BA78" s="7">
        <f t="shared" si="26"/>
        <v>0</v>
      </c>
      <c r="BB78" s="7">
        <f t="shared" si="26"/>
        <v>0</v>
      </c>
      <c r="BC78" s="7">
        <f t="shared" si="26"/>
        <v>0</v>
      </c>
      <c r="BD78" s="7">
        <f t="shared" si="26"/>
        <v>0</v>
      </c>
      <c r="BE78" s="7">
        <f t="shared" si="26"/>
        <v>0</v>
      </c>
      <c r="BF78" s="7">
        <f t="shared" si="26"/>
        <v>99</v>
      </c>
      <c r="BG78" s="7">
        <f t="shared" si="26"/>
        <v>0</v>
      </c>
      <c r="BH78" s="7">
        <f t="shared" si="26"/>
        <v>0</v>
      </c>
      <c r="BI78" s="420">
        <f t="shared" si="23"/>
        <v>99</v>
      </c>
    </row>
    <row r="79" spans="1:61">
      <c r="A79" s="1" t="s">
        <v>659</v>
      </c>
      <c r="B79" s="4">
        <v>15028327</v>
      </c>
      <c r="C79" s="1" t="s">
        <v>566</v>
      </c>
      <c r="D79" s="1" t="s">
        <v>511</v>
      </c>
      <c r="E79" s="7">
        <v>1981</v>
      </c>
      <c r="F79" s="7">
        <v>112</v>
      </c>
      <c r="G79" s="1" t="s">
        <v>511</v>
      </c>
      <c r="H79" s="7"/>
      <c r="I79" s="7">
        <v>0</v>
      </c>
      <c r="K79" s="1" t="s">
        <v>435</v>
      </c>
      <c r="L79" s="1" t="s">
        <v>745</v>
      </c>
      <c r="M79" s="333" t="s">
        <v>744</v>
      </c>
      <c r="N79" s="332">
        <v>40505</v>
      </c>
      <c r="O79" s="181">
        <v>9250.0400000000009</v>
      </c>
      <c r="P79" s="184">
        <v>4589.45</v>
      </c>
      <c r="Q79" s="229">
        <v>5878.82</v>
      </c>
      <c r="R79" s="192">
        <v>7175.13</v>
      </c>
      <c r="S79" s="136"/>
      <c r="T79" s="136"/>
      <c r="U79" s="136"/>
      <c r="V79" s="136"/>
      <c r="W79" s="136"/>
      <c r="X79" s="136"/>
      <c r="Y79" s="136"/>
      <c r="Z79" s="136"/>
      <c r="AA79" s="312">
        <f t="shared" si="27"/>
        <v>0</v>
      </c>
      <c r="AB79" s="384">
        <f t="shared" si="29"/>
        <v>26893.440000000002</v>
      </c>
      <c r="AD79" s="9">
        <f t="shared" si="21"/>
        <v>0</v>
      </c>
      <c r="AE79" s="9">
        <f t="shared" si="24"/>
        <v>0</v>
      </c>
      <c r="AF79" s="9">
        <f t="shared" si="24"/>
        <v>0</v>
      </c>
      <c r="AG79" s="9">
        <f t="shared" si="24"/>
        <v>0</v>
      </c>
      <c r="AH79" s="9">
        <f t="shared" si="24"/>
        <v>0</v>
      </c>
      <c r="AI79" s="9">
        <f t="shared" si="24"/>
        <v>0</v>
      </c>
      <c r="AJ79" s="9">
        <f t="shared" si="24"/>
        <v>0</v>
      </c>
      <c r="AK79" s="9">
        <f t="shared" si="24"/>
        <v>0</v>
      </c>
      <c r="AL79" s="9">
        <f t="shared" si="24"/>
        <v>0</v>
      </c>
      <c r="AM79" s="9">
        <f t="shared" si="24"/>
        <v>0</v>
      </c>
      <c r="AN79" s="9">
        <f t="shared" si="24"/>
        <v>0</v>
      </c>
      <c r="AO79" s="9">
        <f t="shared" si="24"/>
        <v>0</v>
      </c>
      <c r="AP79" s="9">
        <f t="shared" si="24"/>
        <v>0</v>
      </c>
      <c r="AQ79" s="9">
        <f t="shared" si="24"/>
        <v>0</v>
      </c>
      <c r="AR79" s="9">
        <f t="shared" si="24"/>
        <v>0</v>
      </c>
      <c r="AS79" s="9">
        <f t="shared" si="24"/>
        <v>0</v>
      </c>
      <c r="AT79" s="365">
        <f t="shared" si="25"/>
        <v>0</v>
      </c>
      <c r="AU79" s="416"/>
      <c r="AV79" s="7">
        <f t="shared" si="20"/>
        <v>0</v>
      </c>
      <c r="AW79" s="7">
        <f t="shared" si="26"/>
        <v>0</v>
      </c>
      <c r="AX79" s="7">
        <f t="shared" si="26"/>
        <v>0</v>
      </c>
      <c r="AY79" s="7">
        <f t="shared" si="26"/>
        <v>0</v>
      </c>
      <c r="AZ79" s="7">
        <f t="shared" si="26"/>
        <v>0</v>
      </c>
      <c r="BA79" s="7">
        <f t="shared" si="26"/>
        <v>0</v>
      </c>
      <c r="BB79" s="7">
        <f t="shared" si="26"/>
        <v>0</v>
      </c>
      <c r="BC79" s="7">
        <f t="shared" si="26"/>
        <v>0</v>
      </c>
      <c r="BD79" s="7">
        <f t="shared" si="26"/>
        <v>0</v>
      </c>
      <c r="BE79" s="7">
        <f t="shared" si="26"/>
        <v>0</v>
      </c>
      <c r="BF79" s="7">
        <f t="shared" si="26"/>
        <v>0</v>
      </c>
      <c r="BG79" s="7">
        <f t="shared" si="26"/>
        <v>0</v>
      </c>
      <c r="BH79" s="7">
        <f t="shared" si="26"/>
        <v>0</v>
      </c>
      <c r="BI79" s="420">
        <f t="shared" si="23"/>
        <v>0</v>
      </c>
    </row>
    <row r="80" spans="1:61">
      <c r="A80" s="1" t="s">
        <v>658</v>
      </c>
      <c r="B80" s="4">
        <v>15063838</v>
      </c>
      <c r="D80" s="1" t="s">
        <v>908</v>
      </c>
      <c r="H80" s="1">
        <v>120</v>
      </c>
      <c r="O80" s="181">
        <v>1004.45</v>
      </c>
      <c r="P80" s="184">
        <v>14052.56</v>
      </c>
      <c r="Q80" s="229">
        <v>18417.59</v>
      </c>
      <c r="R80" s="192">
        <v>33591.879999999997</v>
      </c>
      <c r="S80" s="195">
        <v>18415.21</v>
      </c>
      <c r="T80" s="238">
        <v>14490.87</v>
      </c>
      <c r="U80" s="347">
        <v>14306.33</v>
      </c>
      <c r="V80" s="434">
        <v>16649.990000000002</v>
      </c>
      <c r="W80" s="434">
        <v>8587.34</v>
      </c>
      <c r="X80" s="434">
        <v>502.45</v>
      </c>
      <c r="Y80" s="434">
        <v>3579.33</v>
      </c>
      <c r="Z80" s="434">
        <v>2625.38</v>
      </c>
      <c r="AA80" s="312">
        <f t="shared" si="27"/>
        <v>46250.82</v>
      </c>
      <c r="AB80" s="384">
        <f t="shared" si="29"/>
        <v>146223.38</v>
      </c>
      <c r="AD80" s="9">
        <f t="shared" si="21"/>
        <v>0</v>
      </c>
      <c r="AE80" s="9">
        <f t="shared" si="24"/>
        <v>0</v>
      </c>
      <c r="AF80" s="9">
        <f t="shared" si="24"/>
        <v>0</v>
      </c>
      <c r="AG80" s="9">
        <f t="shared" si="24"/>
        <v>0</v>
      </c>
      <c r="AH80" s="9">
        <f t="shared" si="24"/>
        <v>0</v>
      </c>
      <c r="AI80" s="9">
        <f t="shared" si="24"/>
        <v>0</v>
      </c>
      <c r="AJ80" s="9">
        <f t="shared" si="24"/>
        <v>0</v>
      </c>
      <c r="AK80" s="9">
        <f t="shared" si="24"/>
        <v>0</v>
      </c>
      <c r="AL80" s="9">
        <f t="shared" si="24"/>
        <v>46250.82</v>
      </c>
      <c r="AM80" s="9">
        <f t="shared" si="24"/>
        <v>0</v>
      </c>
      <c r="AN80" s="9">
        <f t="shared" si="24"/>
        <v>0</v>
      </c>
      <c r="AO80" s="9">
        <f t="shared" si="24"/>
        <v>0</v>
      </c>
      <c r="AP80" s="9">
        <f t="shared" si="24"/>
        <v>0</v>
      </c>
      <c r="AQ80" s="9">
        <f t="shared" si="24"/>
        <v>0</v>
      </c>
      <c r="AR80" s="9">
        <f t="shared" si="24"/>
        <v>0</v>
      </c>
      <c r="AS80" s="9">
        <f t="shared" si="24"/>
        <v>0</v>
      </c>
      <c r="AT80" s="365">
        <f t="shared" si="25"/>
        <v>46250.82</v>
      </c>
      <c r="AU80" s="416"/>
      <c r="AV80" s="7">
        <f t="shared" si="20"/>
        <v>0</v>
      </c>
      <c r="AW80" s="7">
        <f t="shared" si="26"/>
        <v>0</v>
      </c>
      <c r="AX80" s="7">
        <f t="shared" si="26"/>
        <v>0</v>
      </c>
      <c r="AY80" s="7">
        <f t="shared" si="26"/>
        <v>0</v>
      </c>
      <c r="AZ80" s="7">
        <f t="shared" si="26"/>
        <v>0</v>
      </c>
      <c r="BA80" s="7">
        <f t="shared" si="26"/>
        <v>0</v>
      </c>
      <c r="BB80" s="7">
        <f t="shared" si="26"/>
        <v>0</v>
      </c>
      <c r="BC80" s="7">
        <f t="shared" si="26"/>
        <v>120</v>
      </c>
      <c r="BD80" s="7">
        <f t="shared" si="26"/>
        <v>0</v>
      </c>
      <c r="BE80" s="7">
        <f t="shared" si="26"/>
        <v>0</v>
      </c>
      <c r="BF80" s="7">
        <f t="shared" si="26"/>
        <v>0</v>
      </c>
      <c r="BG80" s="7">
        <f t="shared" si="26"/>
        <v>0</v>
      </c>
      <c r="BH80" s="7">
        <f t="shared" si="26"/>
        <v>0</v>
      </c>
      <c r="BI80" s="420">
        <f t="shared" si="23"/>
        <v>120</v>
      </c>
    </row>
    <row r="81" spans="1:61">
      <c r="A81" s="1" t="s">
        <v>970</v>
      </c>
      <c r="B81" s="4">
        <v>15061958</v>
      </c>
      <c r="D81" s="1" t="s">
        <v>878</v>
      </c>
      <c r="O81" s="136"/>
      <c r="P81" s="184">
        <v>95.37</v>
      </c>
      <c r="Q81" s="136"/>
      <c r="R81" s="192">
        <v>544.77</v>
      </c>
      <c r="S81" s="136"/>
      <c r="T81" s="136"/>
      <c r="U81" s="136"/>
      <c r="V81" s="136"/>
      <c r="W81" s="136"/>
      <c r="X81" s="136"/>
      <c r="Y81" s="136"/>
      <c r="Z81" s="136"/>
      <c r="AA81" s="312">
        <f t="shared" si="27"/>
        <v>0</v>
      </c>
      <c r="AB81" s="392">
        <f t="shared" si="29"/>
        <v>640.14</v>
      </c>
      <c r="AD81" s="9">
        <f t="shared" si="21"/>
        <v>0</v>
      </c>
      <c r="AE81" s="9">
        <f t="shared" si="24"/>
        <v>0</v>
      </c>
      <c r="AF81" s="9">
        <f t="shared" si="24"/>
        <v>0</v>
      </c>
      <c r="AG81" s="9">
        <f t="shared" si="24"/>
        <v>0</v>
      </c>
      <c r="AH81" s="9">
        <f t="shared" si="24"/>
        <v>0</v>
      </c>
      <c r="AI81" s="9">
        <f t="shared" si="24"/>
        <v>0</v>
      </c>
      <c r="AJ81" s="9">
        <f t="shared" si="24"/>
        <v>0</v>
      </c>
      <c r="AK81" s="9">
        <f t="shared" si="24"/>
        <v>0</v>
      </c>
      <c r="AL81" s="9">
        <f t="shared" si="24"/>
        <v>0</v>
      </c>
      <c r="AM81" s="9">
        <f t="shared" si="24"/>
        <v>0</v>
      </c>
      <c r="AN81" s="9">
        <f t="shared" si="24"/>
        <v>0</v>
      </c>
      <c r="AO81" s="9">
        <f t="shared" si="24"/>
        <v>0</v>
      </c>
      <c r="AP81" s="9">
        <f t="shared" si="24"/>
        <v>0</v>
      </c>
      <c r="AQ81" s="9">
        <f t="shared" si="24"/>
        <v>0</v>
      </c>
      <c r="AR81" s="9">
        <f t="shared" si="24"/>
        <v>0</v>
      </c>
      <c r="AS81" s="9">
        <f t="shared" si="24"/>
        <v>0</v>
      </c>
      <c r="AT81" s="365">
        <f t="shared" si="25"/>
        <v>0</v>
      </c>
      <c r="AU81" s="416"/>
      <c r="AV81" s="7">
        <f t="shared" si="20"/>
        <v>0</v>
      </c>
      <c r="AW81" s="7">
        <f t="shared" si="26"/>
        <v>0</v>
      </c>
      <c r="AX81" s="7">
        <f t="shared" si="26"/>
        <v>0</v>
      </c>
      <c r="AY81" s="7">
        <f t="shared" si="26"/>
        <v>0</v>
      </c>
      <c r="AZ81" s="7">
        <f t="shared" si="26"/>
        <v>0</v>
      </c>
      <c r="BA81" s="7">
        <f t="shared" si="26"/>
        <v>0</v>
      </c>
      <c r="BB81" s="7">
        <f t="shared" si="26"/>
        <v>0</v>
      </c>
      <c r="BC81" s="7">
        <f t="shared" si="26"/>
        <v>0</v>
      </c>
      <c r="BD81" s="7">
        <f t="shared" si="26"/>
        <v>0</v>
      </c>
      <c r="BE81" s="7">
        <f t="shared" si="26"/>
        <v>0</v>
      </c>
      <c r="BF81" s="7">
        <f t="shared" si="26"/>
        <v>0</v>
      </c>
      <c r="BG81" s="7">
        <f t="shared" si="26"/>
        <v>0</v>
      </c>
      <c r="BH81" s="7">
        <f t="shared" si="26"/>
        <v>0</v>
      </c>
      <c r="BI81" s="420">
        <f t="shared" si="23"/>
        <v>0</v>
      </c>
    </row>
    <row r="82" spans="1:61">
      <c r="A82" s="1" t="s">
        <v>659</v>
      </c>
      <c r="B82" s="4">
        <v>15036180</v>
      </c>
      <c r="C82" s="1" t="s">
        <v>626</v>
      </c>
      <c r="D82" s="1" t="s">
        <v>687</v>
      </c>
      <c r="E82" s="338">
        <v>33482</v>
      </c>
      <c r="G82" s="1" t="s">
        <v>687</v>
      </c>
      <c r="H82" s="7">
        <v>122</v>
      </c>
      <c r="I82" s="7">
        <v>3</v>
      </c>
      <c r="J82" s="1" t="s">
        <v>754</v>
      </c>
      <c r="K82" s="1" t="s">
        <v>407</v>
      </c>
      <c r="L82" s="1" t="s">
        <v>745</v>
      </c>
      <c r="M82" s="333" t="s">
        <v>744</v>
      </c>
      <c r="N82" s="332">
        <v>40505</v>
      </c>
      <c r="O82" s="181">
        <v>14009.89</v>
      </c>
      <c r="P82" s="184">
        <v>12806.96</v>
      </c>
      <c r="Q82" s="229">
        <v>10725.78</v>
      </c>
      <c r="R82" s="192">
        <v>15385.65</v>
      </c>
      <c r="S82" s="195">
        <v>9251.7999999999993</v>
      </c>
      <c r="T82" s="238">
        <v>5674.51</v>
      </c>
      <c r="U82" s="212">
        <v>5943.06</v>
      </c>
      <c r="V82" s="212">
        <v>7447.73</v>
      </c>
      <c r="W82" s="217">
        <v>5061.04</v>
      </c>
      <c r="X82" s="220">
        <v>2597.61</v>
      </c>
      <c r="Y82" s="172">
        <v>3689.12</v>
      </c>
      <c r="Z82" s="434">
        <v>5034.45</v>
      </c>
      <c r="AA82" s="312">
        <f t="shared" si="27"/>
        <v>29773.010000000002</v>
      </c>
      <c r="AB82" s="384">
        <f t="shared" ref="AB82:AB91" si="30">SUM(O82:Z82)</f>
        <v>97627.599999999977</v>
      </c>
      <c r="AD82" s="9">
        <f t="shared" si="21"/>
        <v>0</v>
      </c>
      <c r="AE82" s="9">
        <f t="shared" si="24"/>
        <v>0</v>
      </c>
      <c r="AF82" s="9">
        <f t="shared" si="24"/>
        <v>0</v>
      </c>
      <c r="AG82" s="9">
        <f t="shared" si="24"/>
        <v>0</v>
      </c>
      <c r="AH82" s="9">
        <f t="shared" si="24"/>
        <v>0</v>
      </c>
      <c r="AI82" s="9">
        <f t="shared" si="24"/>
        <v>0</v>
      </c>
      <c r="AJ82" s="9">
        <f t="shared" si="24"/>
        <v>0</v>
      </c>
      <c r="AK82" s="9">
        <f t="shared" si="24"/>
        <v>0</v>
      </c>
      <c r="AL82" s="9">
        <f t="shared" si="24"/>
        <v>0</v>
      </c>
      <c r="AM82" s="9">
        <f t="shared" si="24"/>
        <v>0</v>
      </c>
      <c r="AN82" s="9">
        <f t="shared" si="24"/>
        <v>0</v>
      </c>
      <c r="AO82" s="9">
        <f t="shared" si="24"/>
        <v>29773.010000000002</v>
      </c>
      <c r="AP82" s="9">
        <f t="shared" si="24"/>
        <v>0</v>
      </c>
      <c r="AQ82" s="9">
        <f t="shared" si="24"/>
        <v>0</v>
      </c>
      <c r="AR82" s="9">
        <f t="shared" si="24"/>
        <v>0</v>
      </c>
      <c r="AS82" s="9">
        <f t="shared" si="24"/>
        <v>0</v>
      </c>
      <c r="AT82" s="365">
        <f t="shared" si="25"/>
        <v>29773.010000000002</v>
      </c>
      <c r="AU82" s="416"/>
      <c r="AV82" s="7">
        <f t="shared" si="20"/>
        <v>0</v>
      </c>
      <c r="AW82" s="7">
        <f t="shared" si="26"/>
        <v>0</v>
      </c>
      <c r="AX82" s="7">
        <f t="shared" si="26"/>
        <v>0</v>
      </c>
      <c r="AY82" s="7">
        <f t="shared" si="26"/>
        <v>0</v>
      </c>
      <c r="AZ82" s="7">
        <f t="shared" si="26"/>
        <v>0</v>
      </c>
      <c r="BA82" s="7">
        <f t="shared" si="26"/>
        <v>0</v>
      </c>
      <c r="BB82" s="7">
        <f t="shared" si="26"/>
        <v>0</v>
      </c>
      <c r="BC82" s="7">
        <f t="shared" si="26"/>
        <v>0</v>
      </c>
      <c r="BD82" s="7">
        <f t="shared" si="26"/>
        <v>0</v>
      </c>
      <c r="BE82" s="7">
        <f t="shared" si="26"/>
        <v>0</v>
      </c>
      <c r="BF82" s="7">
        <f t="shared" si="26"/>
        <v>122</v>
      </c>
      <c r="BG82" s="7">
        <f t="shared" si="26"/>
        <v>0</v>
      </c>
      <c r="BH82" s="7">
        <f t="shared" si="26"/>
        <v>0</v>
      </c>
      <c r="BI82" s="420">
        <f t="shared" si="23"/>
        <v>122</v>
      </c>
    </row>
    <row r="83" spans="1:61">
      <c r="A83" s="1" t="s">
        <v>662</v>
      </c>
      <c r="B83" s="4">
        <v>7001502</v>
      </c>
      <c r="C83" s="1" t="s">
        <v>650</v>
      </c>
      <c r="D83" s="1" t="s">
        <v>270</v>
      </c>
      <c r="E83" s="7">
        <v>1968</v>
      </c>
      <c r="F83" s="7">
        <v>128</v>
      </c>
      <c r="G83" s="1" t="s">
        <v>785</v>
      </c>
      <c r="H83" s="7">
        <v>145</v>
      </c>
      <c r="I83" s="7">
        <v>10</v>
      </c>
      <c r="J83" s="1" t="s">
        <v>776</v>
      </c>
      <c r="K83" s="1" t="s">
        <v>451</v>
      </c>
      <c r="L83" s="1" t="s">
        <v>745</v>
      </c>
      <c r="M83" s="333" t="s">
        <v>744</v>
      </c>
      <c r="N83" s="332">
        <v>40505</v>
      </c>
      <c r="O83" s="181">
        <v>18403.91</v>
      </c>
      <c r="P83" s="184">
        <v>14711.29</v>
      </c>
      <c r="Q83" s="229">
        <v>14053.05</v>
      </c>
      <c r="R83" s="192">
        <v>16400.599999999999</v>
      </c>
      <c r="S83" s="195">
        <v>9918.61</v>
      </c>
      <c r="T83" s="238">
        <v>8108.92</v>
      </c>
      <c r="U83" s="347">
        <v>7093.11</v>
      </c>
      <c r="V83" s="212">
        <v>9204.4</v>
      </c>
      <c r="W83" s="217">
        <v>5548.81</v>
      </c>
      <c r="X83" s="220">
        <v>3976.58</v>
      </c>
      <c r="Y83" s="304">
        <v>4729.83</v>
      </c>
      <c r="Z83" s="172">
        <v>6716.38</v>
      </c>
      <c r="AA83" s="312">
        <f t="shared" si="27"/>
        <v>37269.11</v>
      </c>
      <c r="AB83" s="384">
        <f t="shared" si="30"/>
        <v>118865.48999999999</v>
      </c>
      <c r="AD83" s="9">
        <f t="shared" si="21"/>
        <v>0</v>
      </c>
      <c r="AE83" s="9">
        <f t="shared" si="24"/>
        <v>0</v>
      </c>
      <c r="AF83" s="9">
        <f t="shared" si="24"/>
        <v>37269.11</v>
      </c>
      <c r="AG83" s="9">
        <f t="shared" si="24"/>
        <v>0</v>
      </c>
      <c r="AH83" s="9">
        <f t="shared" si="24"/>
        <v>0</v>
      </c>
      <c r="AI83" s="9">
        <f t="shared" si="24"/>
        <v>0</v>
      </c>
      <c r="AJ83" s="9">
        <f t="shared" si="24"/>
        <v>0</v>
      </c>
      <c r="AK83" s="9">
        <f t="shared" si="24"/>
        <v>0</v>
      </c>
      <c r="AL83" s="9">
        <f t="shared" si="24"/>
        <v>0</v>
      </c>
      <c r="AM83" s="9">
        <f t="shared" si="24"/>
        <v>0</v>
      </c>
      <c r="AN83" s="9">
        <f t="shared" si="24"/>
        <v>0</v>
      </c>
      <c r="AO83" s="9">
        <f t="shared" si="24"/>
        <v>0</v>
      </c>
      <c r="AP83" s="9">
        <f t="shared" si="24"/>
        <v>0</v>
      </c>
      <c r="AQ83" s="9">
        <f t="shared" si="24"/>
        <v>0</v>
      </c>
      <c r="AR83" s="9">
        <f t="shared" si="24"/>
        <v>0</v>
      </c>
      <c r="AS83" s="9">
        <f t="shared" ref="AE83:AS100" si="31">+IF($A83=AS$2,SUM($U83:$Z83),0)</f>
        <v>0</v>
      </c>
      <c r="AT83" s="365">
        <f t="shared" si="25"/>
        <v>37269.11</v>
      </c>
      <c r="AU83" s="416"/>
      <c r="AV83" s="7">
        <f t="shared" si="20"/>
        <v>0</v>
      </c>
      <c r="AW83" s="7">
        <f t="shared" si="26"/>
        <v>0</v>
      </c>
      <c r="AX83" s="7">
        <f t="shared" si="26"/>
        <v>145</v>
      </c>
      <c r="AY83" s="7">
        <f t="shared" si="26"/>
        <v>0</v>
      </c>
      <c r="AZ83" s="7">
        <f t="shared" si="26"/>
        <v>0</v>
      </c>
      <c r="BA83" s="7">
        <f t="shared" si="26"/>
        <v>0</v>
      </c>
      <c r="BB83" s="7">
        <f t="shared" si="26"/>
        <v>0</v>
      </c>
      <c r="BC83" s="7">
        <f t="shared" si="26"/>
        <v>0</v>
      </c>
      <c r="BD83" s="7">
        <f t="shared" si="26"/>
        <v>0</v>
      </c>
      <c r="BE83" s="7">
        <f t="shared" si="26"/>
        <v>0</v>
      </c>
      <c r="BF83" s="7">
        <f t="shared" si="26"/>
        <v>0</v>
      </c>
      <c r="BG83" s="7">
        <f t="shared" si="26"/>
        <v>0</v>
      </c>
      <c r="BH83" s="7">
        <f t="shared" si="26"/>
        <v>0</v>
      </c>
      <c r="BI83" s="420">
        <f t="shared" si="23"/>
        <v>145</v>
      </c>
    </row>
    <row r="84" spans="1:61">
      <c r="A84" s="1" t="s">
        <v>662</v>
      </c>
      <c r="B84" s="4">
        <v>15038477</v>
      </c>
      <c r="C84" s="1" t="s">
        <v>479</v>
      </c>
      <c r="D84" s="1" t="s">
        <v>479</v>
      </c>
      <c r="E84" s="338">
        <v>29312</v>
      </c>
      <c r="G84" s="1" t="s">
        <v>810</v>
      </c>
      <c r="H84" s="7">
        <v>108</v>
      </c>
      <c r="I84" s="7">
        <v>0</v>
      </c>
      <c r="K84" s="1" t="s">
        <v>439</v>
      </c>
      <c r="L84" s="1" t="s">
        <v>745</v>
      </c>
      <c r="M84" s="333" t="s">
        <v>744</v>
      </c>
      <c r="N84" s="332">
        <v>40505</v>
      </c>
      <c r="O84" s="181">
        <v>11214.5</v>
      </c>
      <c r="P84" s="229">
        <v>10531.71</v>
      </c>
      <c r="Q84" s="229">
        <v>7864.66</v>
      </c>
      <c r="R84" s="192">
        <v>12811.83</v>
      </c>
      <c r="S84" s="195">
        <v>7773.52</v>
      </c>
      <c r="T84" s="238">
        <v>7090.1</v>
      </c>
      <c r="U84" s="347">
        <v>6124.07</v>
      </c>
      <c r="V84" s="212">
        <v>5421.28</v>
      </c>
      <c r="W84" s="136"/>
      <c r="X84" s="136"/>
      <c r="Y84" s="136"/>
      <c r="Z84" s="136"/>
      <c r="AA84" s="312">
        <f t="shared" si="27"/>
        <v>11545.349999999999</v>
      </c>
      <c r="AB84" s="384">
        <f t="shared" si="30"/>
        <v>68831.67</v>
      </c>
      <c r="AD84" s="9">
        <f t="shared" si="21"/>
        <v>0</v>
      </c>
      <c r="AE84" s="9">
        <f t="shared" si="31"/>
        <v>0</v>
      </c>
      <c r="AF84" s="9">
        <f t="shared" si="31"/>
        <v>11545.349999999999</v>
      </c>
      <c r="AG84" s="9">
        <f t="shared" si="31"/>
        <v>0</v>
      </c>
      <c r="AH84" s="9">
        <f t="shared" si="31"/>
        <v>0</v>
      </c>
      <c r="AI84" s="9">
        <f t="shared" si="31"/>
        <v>0</v>
      </c>
      <c r="AJ84" s="9">
        <f t="shared" si="31"/>
        <v>0</v>
      </c>
      <c r="AK84" s="9">
        <f t="shared" si="31"/>
        <v>0</v>
      </c>
      <c r="AL84" s="9">
        <f t="shared" si="31"/>
        <v>0</v>
      </c>
      <c r="AM84" s="9">
        <f t="shared" si="31"/>
        <v>0</v>
      </c>
      <c r="AN84" s="9">
        <f t="shared" si="31"/>
        <v>0</v>
      </c>
      <c r="AO84" s="9">
        <f t="shared" si="31"/>
        <v>0</v>
      </c>
      <c r="AP84" s="9">
        <f t="shared" si="31"/>
        <v>0</v>
      </c>
      <c r="AQ84" s="9">
        <f t="shared" si="31"/>
        <v>0</v>
      </c>
      <c r="AR84" s="9">
        <f t="shared" si="31"/>
        <v>0</v>
      </c>
      <c r="AS84" s="9">
        <f t="shared" si="31"/>
        <v>0</v>
      </c>
      <c r="AT84" s="365">
        <f t="shared" si="25"/>
        <v>11545.349999999999</v>
      </c>
      <c r="AU84" s="416"/>
      <c r="AV84" s="7">
        <f t="shared" si="20"/>
        <v>0</v>
      </c>
      <c r="AW84" s="7">
        <f t="shared" si="26"/>
        <v>0</v>
      </c>
      <c r="AX84" s="7">
        <f t="shared" ref="AW84:BH102" si="32">+IF($A84=AX$2,$H84,0)</f>
        <v>108</v>
      </c>
      <c r="AY84" s="7">
        <f t="shared" si="32"/>
        <v>0</v>
      </c>
      <c r="AZ84" s="7">
        <f t="shared" si="32"/>
        <v>0</v>
      </c>
      <c r="BA84" s="7">
        <f t="shared" si="32"/>
        <v>0</v>
      </c>
      <c r="BB84" s="7">
        <f t="shared" si="32"/>
        <v>0</v>
      </c>
      <c r="BC84" s="7">
        <f t="shared" si="32"/>
        <v>0</v>
      </c>
      <c r="BD84" s="7">
        <f t="shared" si="32"/>
        <v>0</v>
      </c>
      <c r="BE84" s="7">
        <f t="shared" si="32"/>
        <v>0</v>
      </c>
      <c r="BF84" s="7">
        <f t="shared" si="32"/>
        <v>0</v>
      </c>
      <c r="BG84" s="7">
        <f t="shared" si="32"/>
        <v>0</v>
      </c>
      <c r="BH84" s="7">
        <f t="shared" si="32"/>
        <v>0</v>
      </c>
      <c r="BI84" s="420">
        <f t="shared" si="23"/>
        <v>108</v>
      </c>
    </row>
    <row r="85" spans="1:61">
      <c r="A85" s="1" t="s">
        <v>658</v>
      </c>
      <c r="B85" s="4">
        <v>15051247</v>
      </c>
      <c r="C85" s="1" t="s">
        <v>480</v>
      </c>
      <c r="D85" s="1" t="s">
        <v>480</v>
      </c>
      <c r="E85" s="338">
        <v>32203</v>
      </c>
      <c r="G85" s="1" t="s">
        <v>812</v>
      </c>
      <c r="H85" s="7">
        <v>117</v>
      </c>
      <c r="I85" s="7">
        <v>1</v>
      </c>
      <c r="K85" s="1" t="s">
        <v>811</v>
      </c>
      <c r="L85" s="1" t="s">
        <v>745</v>
      </c>
      <c r="M85" s="333" t="s">
        <v>744</v>
      </c>
      <c r="N85" s="332">
        <v>40503</v>
      </c>
      <c r="O85" s="181">
        <v>14061.6</v>
      </c>
      <c r="P85" s="229">
        <v>12822.72</v>
      </c>
      <c r="Q85" s="229">
        <v>12300.36</v>
      </c>
      <c r="R85" s="192">
        <v>14640.37</v>
      </c>
      <c r="S85" s="195">
        <v>10996.51</v>
      </c>
      <c r="T85" s="238">
        <v>10056.82</v>
      </c>
      <c r="U85" s="347">
        <v>9229.58</v>
      </c>
      <c r="V85" s="212">
        <v>1429.22</v>
      </c>
      <c r="W85" s="32"/>
      <c r="X85" s="220">
        <v>7086.09</v>
      </c>
      <c r="Y85" s="304">
        <v>9253.11</v>
      </c>
      <c r="Z85" s="32"/>
      <c r="AA85" s="312">
        <f t="shared" si="27"/>
        <v>26998</v>
      </c>
      <c r="AB85" s="384">
        <f t="shared" si="30"/>
        <v>101876.38</v>
      </c>
      <c r="AD85" s="9">
        <f t="shared" si="21"/>
        <v>0</v>
      </c>
      <c r="AE85" s="9">
        <f t="shared" si="31"/>
        <v>0</v>
      </c>
      <c r="AF85" s="9">
        <f t="shared" si="31"/>
        <v>0</v>
      </c>
      <c r="AG85" s="9">
        <f t="shared" si="31"/>
        <v>0</v>
      </c>
      <c r="AH85" s="9">
        <f t="shared" si="31"/>
        <v>0</v>
      </c>
      <c r="AI85" s="9">
        <f t="shared" si="31"/>
        <v>0</v>
      </c>
      <c r="AJ85" s="9">
        <f t="shared" si="31"/>
        <v>0</v>
      </c>
      <c r="AK85" s="9">
        <f t="shared" si="31"/>
        <v>0</v>
      </c>
      <c r="AL85" s="9">
        <f t="shared" si="31"/>
        <v>26998</v>
      </c>
      <c r="AM85" s="9">
        <f t="shared" si="31"/>
        <v>0</v>
      </c>
      <c r="AN85" s="9">
        <f t="shared" si="31"/>
        <v>0</v>
      </c>
      <c r="AO85" s="9">
        <f t="shared" si="31"/>
        <v>0</v>
      </c>
      <c r="AP85" s="9">
        <f t="shared" si="31"/>
        <v>0</v>
      </c>
      <c r="AQ85" s="9">
        <f t="shared" si="31"/>
        <v>0</v>
      </c>
      <c r="AR85" s="9">
        <f t="shared" si="31"/>
        <v>0</v>
      </c>
      <c r="AS85" s="9">
        <f t="shared" si="31"/>
        <v>0</v>
      </c>
      <c r="AT85" s="365">
        <f t="shared" si="25"/>
        <v>26998</v>
      </c>
      <c r="AU85" s="416"/>
      <c r="AV85" s="7">
        <f t="shared" si="20"/>
        <v>0</v>
      </c>
      <c r="AW85" s="7">
        <f t="shared" si="32"/>
        <v>0</v>
      </c>
      <c r="AX85" s="7">
        <f t="shared" si="32"/>
        <v>0</v>
      </c>
      <c r="AY85" s="7">
        <f t="shared" si="32"/>
        <v>0</v>
      </c>
      <c r="AZ85" s="7">
        <f t="shared" si="32"/>
        <v>0</v>
      </c>
      <c r="BA85" s="7">
        <f t="shared" si="32"/>
        <v>0</v>
      </c>
      <c r="BB85" s="7">
        <f t="shared" si="32"/>
        <v>0</v>
      </c>
      <c r="BC85" s="7">
        <f t="shared" si="32"/>
        <v>117</v>
      </c>
      <c r="BD85" s="7">
        <f t="shared" si="32"/>
        <v>0</v>
      </c>
      <c r="BE85" s="7">
        <f t="shared" si="32"/>
        <v>0</v>
      </c>
      <c r="BF85" s="7">
        <f t="shared" si="32"/>
        <v>0</v>
      </c>
      <c r="BG85" s="7">
        <f t="shared" si="32"/>
        <v>0</v>
      </c>
      <c r="BH85" s="7">
        <f t="shared" si="32"/>
        <v>0</v>
      </c>
      <c r="BI85" s="420">
        <f t="shared" ref="BI85:BI110" si="33">+SUM(AV85:BH85)</f>
        <v>117</v>
      </c>
    </row>
    <row r="86" spans="1:61">
      <c r="A86" s="1" t="s">
        <v>970</v>
      </c>
      <c r="B86" s="42">
        <v>15012310</v>
      </c>
      <c r="C86" s="11" t="s">
        <v>603</v>
      </c>
      <c r="D86" s="11" t="s">
        <v>684</v>
      </c>
      <c r="E86" s="11"/>
      <c r="F86" s="340"/>
      <c r="G86" s="11"/>
      <c r="H86" s="11"/>
      <c r="I86" s="11"/>
      <c r="J86" s="11"/>
      <c r="K86" s="11"/>
      <c r="L86" s="11"/>
      <c r="M86" s="11"/>
      <c r="N86" s="11"/>
      <c r="O86" s="181">
        <v>286.42</v>
      </c>
      <c r="P86" s="229">
        <v>114.09</v>
      </c>
      <c r="Q86" s="229">
        <v>183.81</v>
      </c>
      <c r="R86" s="192">
        <v>498.02</v>
      </c>
      <c r="S86" s="195">
        <v>42.08</v>
      </c>
      <c r="T86" s="238">
        <v>222.7</v>
      </c>
      <c r="U86" s="347">
        <f>241.49+83.81</f>
        <v>325.3</v>
      </c>
      <c r="V86" s="212">
        <v>261.79000000000002</v>
      </c>
      <c r="W86" s="217">
        <v>94.18</v>
      </c>
      <c r="X86" s="136"/>
      <c r="Y86" s="304">
        <v>89.16</v>
      </c>
      <c r="Z86" s="172">
        <v>316.27999999999997</v>
      </c>
      <c r="AA86" s="312">
        <f t="shared" si="27"/>
        <v>1086.71</v>
      </c>
      <c r="AB86" s="392">
        <f t="shared" si="30"/>
        <v>2433.83</v>
      </c>
      <c r="AD86" s="9">
        <f t="shared" si="21"/>
        <v>0</v>
      </c>
      <c r="AE86" s="9">
        <f t="shared" si="31"/>
        <v>0</v>
      </c>
      <c r="AF86" s="9">
        <f t="shared" si="31"/>
        <v>0</v>
      </c>
      <c r="AG86" s="9">
        <f t="shared" si="31"/>
        <v>0</v>
      </c>
      <c r="AH86" s="9">
        <f t="shared" si="31"/>
        <v>0</v>
      </c>
      <c r="AI86" s="9">
        <f t="shared" si="31"/>
        <v>0</v>
      </c>
      <c r="AJ86" s="9">
        <f t="shared" si="31"/>
        <v>0</v>
      </c>
      <c r="AK86" s="9">
        <f t="shared" si="31"/>
        <v>0</v>
      </c>
      <c r="AL86" s="9">
        <f t="shared" si="31"/>
        <v>0</v>
      </c>
      <c r="AM86" s="9">
        <f t="shared" si="31"/>
        <v>0</v>
      </c>
      <c r="AN86" s="9">
        <f t="shared" si="31"/>
        <v>0</v>
      </c>
      <c r="AO86" s="9">
        <f t="shared" si="31"/>
        <v>0</v>
      </c>
      <c r="AP86" s="9">
        <f t="shared" si="31"/>
        <v>0</v>
      </c>
      <c r="AQ86" s="9">
        <f t="shared" si="31"/>
        <v>0</v>
      </c>
      <c r="AR86" s="9">
        <f t="shared" si="31"/>
        <v>1086.71</v>
      </c>
      <c r="AS86" s="9">
        <f t="shared" si="31"/>
        <v>0</v>
      </c>
      <c r="AT86" s="365">
        <f t="shared" si="25"/>
        <v>1086.71</v>
      </c>
      <c r="AU86" s="416"/>
      <c r="AV86" s="7">
        <f t="shared" si="20"/>
        <v>0</v>
      </c>
      <c r="AW86" s="7">
        <f t="shared" si="32"/>
        <v>0</v>
      </c>
      <c r="AX86" s="7">
        <f t="shared" si="32"/>
        <v>0</v>
      </c>
      <c r="AY86" s="7">
        <f t="shared" si="32"/>
        <v>0</v>
      </c>
      <c r="AZ86" s="7">
        <f t="shared" si="32"/>
        <v>0</v>
      </c>
      <c r="BA86" s="7">
        <f t="shared" si="32"/>
        <v>0</v>
      </c>
      <c r="BB86" s="7">
        <f t="shared" si="32"/>
        <v>0</v>
      </c>
      <c r="BC86" s="7">
        <f t="shared" si="32"/>
        <v>0</v>
      </c>
      <c r="BD86" s="7">
        <f t="shared" si="32"/>
        <v>0</v>
      </c>
      <c r="BE86" s="7">
        <f t="shared" si="32"/>
        <v>0</v>
      </c>
      <c r="BF86" s="7">
        <f t="shared" si="32"/>
        <v>0</v>
      </c>
      <c r="BG86" s="7">
        <f t="shared" si="32"/>
        <v>0</v>
      </c>
      <c r="BH86" s="7">
        <f t="shared" si="32"/>
        <v>0</v>
      </c>
      <c r="BI86" s="420">
        <f t="shared" si="33"/>
        <v>0</v>
      </c>
    </row>
    <row r="87" spans="1:61">
      <c r="A87" s="1" t="s">
        <v>530</v>
      </c>
      <c r="B87" s="4">
        <v>15051245</v>
      </c>
      <c r="C87" s="1" t="s">
        <v>630</v>
      </c>
      <c r="D87" s="1" t="s">
        <v>630</v>
      </c>
      <c r="E87" s="338">
        <v>37712</v>
      </c>
      <c r="G87" s="1" t="s">
        <v>789</v>
      </c>
      <c r="H87" s="7">
        <v>91</v>
      </c>
      <c r="I87" s="7"/>
      <c r="J87" s="1" t="s">
        <v>765</v>
      </c>
      <c r="K87" s="1" t="s">
        <v>442</v>
      </c>
      <c r="L87" s="1" t="s">
        <v>745</v>
      </c>
      <c r="M87" s="333" t="s">
        <v>744</v>
      </c>
      <c r="N87" s="332">
        <v>40509</v>
      </c>
      <c r="O87" s="181">
        <v>25573.27</v>
      </c>
      <c r="P87" s="184">
        <v>25759.759999999998</v>
      </c>
      <c r="Q87" s="229">
        <v>22995.22</v>
      </c>
      <c r="R87" s="192">
        <v>26443.93</v>
      </c>
      <c r="S87" s="195">
        <v>18970.47</v>
      </c>
      <c r="T87" s="238">
        <v>16407.3</v>
      </c>
      <c r="U87" s="347">
        <v>16166.58</v>
      </c>
      <c r="V87" s="212">
        <v>17257.13</v>
      </c>
      <c r="W87" s="217">
        <v>11409.47</v>
      </c>
      <c r="X87" s="220">
        <v>4421.28</v>
      </c>
      <c r="Y87" s="304">
        <v>8752.0300000000007</v>
      </c>
      <c r="Z87" s="172">
        <v>16661.79</v>
      </c>
      <c r="AA87" s="312">
        <f t="shared" si="27"/>
        <v>74668.28</v>
      </c>
      <c r="AB87" s="395">
        <f t="shared" si="30"/>
        <v>210818.22999999998</v>
      </c>
      <c r="AD87" s="9">
        <f t="shared" si="21"/>
        <v>0</v>
      </c>
      <c r="AE87" s="9">
        <f t="shared" si="31"/>
        <v>0</v>
      </c>
      <c r="AF87" s="9">
        <f t="shared" si="31"/>
        <v>0</v>
      </c>
      <c r="AG87" s="9">
        <f t="shared" si="31"/>
        <v>0</v>
      </c>
      <c r="AH87" s="9">
        <f t="shared" si="31"/>
        <v>0</v>
      </c>
      <c r="AI87" s="9">
        <f t="shared" si="31"/>
        <v>74668.28</v>
      </c>
      <c r="AJ87" s="9">
        <f t="shared" si="31"/>
        <v>0</v>
      </c>
      <c r="AK87" s="9">
        <f t="shared" si="31"/>
        <v>0</v>
      </c>
      <c r="AL87" s="9">
        <f t="shared" si="31"/>
        <v>0</v>
      </c>
      <c r="AM87" s="9">
        <f t="shared" si="31"/>
        <v>0</v>
      </c>
      <c r="AN87" s="9">
        <f t="shared" si="31"/>
        <v>0</v>
      </c>
      <c r="AO87" s="9">
        <f t="shared" si="31"/>
        <v>0</v>
      </c>
      <c r="AP87" s="9">
        <f t="shared" si="31"/>
        <v>0</v>
      </c>
      <c r="AQ87" s="9">
        <f t="shared" si="31"/>
        <v>0</v>
      </c>
      <c r="AR87" s="9">
        <f t="shared" si="31"/>
        <v>0</v>
      </c>
      <c r="AS87" s="9">
        <f t="shared" si="31"/>
        <v>0</v>
      </c>
      <c r="AT87" s="365">
        <f t="shared" si="25"/>
        <v>74668.28</v>
      </c>
      <c r="AU87" s="416"/>
      <c r="AV87" s="7">
        <f t="shared" si="20"/>
        <v>0</v>
      </c>
      <c r="AW87" s="7">
        <f t="shared" si="32"/>
        <v>0</v>
      </c>
      <c r="AX87" s="7">
        <f t="shared" si="32"/>
        <v>0</v>
      </c>
      <c r="AY87" s="7">
        <f t="shared" si="32"/>
        <v>0</v>
      </c>
      <c r="AZ87" s="7">
        <f t="shared" si="32"/>
        <v>91</v>
      </c>
      <c r="BA87" s="7">
        <f t="shared" si="32"/>
        <v>0</v>
      </c>
      <c r="BB87" s="7">
        <f t="shared" si="32"/>
        <v>0</v>
      </c>
      <c r="BC87" s="7">
        <f t="shared" si="32"/>
        <v>0</v>
      </c>
      <c r="BD87" s="7">
        <f t="shared" si="32"/>
        <v>0</v>
      </c>
      <c r="BE87" s="7">
        <f t="shared" si="32"/>
        <v>0</v>
      </c>
      <c r="BF87" s="7">
        <f t="shared" si="32"/>
        <v>0</v>
      </c>
      <c r="BG87" s="7">
        <f t="shared" si="32"/>
        <v>0</v>
      </c>
      <c r="BH87" s="7">
        <f t="shared" si="32"/>
        <v>0</v>
      </c>
      <c r="BI87" s="420">
        <f t="shared" si="33"/>
        <v>91</v>
      </c>
    </row>
    <row r="88" spans="1:61">
      <c r="A88" s="1" t="s">
        <v>535</v>
      </c>
      <c r="B88" s="4">
        <v>7004001</v>
      </c>
      <c r="C88" s="1" t="s">
        <v>631</v>
      </c>
      <c r="D88" s="1" t="s">
        <v>731</v>
      </c>
      <c r="E88" s="7">
        <v>1985</v>
      </c>
      <c r="F88" s="7">
        <v>116</v>
      </c>
      <c r="G88" s="1" t="s">
        <v>787</v>
      </c>
      <c r="H88" s="7">
        <v>80</v>
      </c>
      <c r="I88" s="7">
        <v>0</v>
      </c>
      <c r="J88" s="1" t="s">
        <v>765</v>
      </c>
      <c r="K88" s="1" t="s">
        <v>786</v>
      </c>
      <c r="L88" s="1" t="s">
        <v>745</v>
      </c>
      <c r="M88" s="333" t="s">
        <v>744</v>
      </c>
      <c r="N88" s="332">
        <v>40511</v>
      </c>
      <c r="O88" s="181">
        <v>21529.5</v>
      </c>
      <c r="P88" s="184">
        <v>19651.560000000001</v>
      </c>
      <c r="Q88" s="229">
        <v>20828.64</v>
      </c>
      <c r="R88" s="192">
        <v>23088.23</v>
      </c>
      <c r="S88" s="195">
        <v>15028.84</v>
      </c>
      <c r="T88" s="238">
        <v>8989.01</v>
      </c>
      <c r="U88" s="347">
        <v>9857.73</v>
      </c>
      <c r="V88" s="212">
        <v>10509.55</v>
      </c>
      <c r="W88" s="217">
        <v>6537.88</v>
      </c>
      <c r="X88" s="220">
        <v>2459.36</v>
      </c>
      <c r="Y88" s="304">
        <v>4847.5600000000004</v>
      </c>
      <c r="Z88" s="172">
        <v>10254.43</v>
      </c>
      <c r="AA88" s="312">
        <f t="shared" si="27"/>
        <v>44466.51</v>
      </c>
      <c r="AB88" s="384">
        <f t="shared" si="30"/>
        <v>153582.28999999995</v>
      </c>
      <c r="AD88" s="9">
        <f t="shared" si="21"/>
        <v>0</v>
      </c>
      <c r="AE88" s="9">
        <f t="shared" si="31"/>
        <v>0</v>
      </c>
      <c r="AF88" s="9">
        <f t="shared" si="31"/>
        <v>0</v>
      </c>
      <c r="AG88" s="9">
        <f t="shared" si="31"/>
        <v>0</v>
      </c>
      <c r="AH88" s="9">
        <f t="shared" si="31"/>
        <v>0</v>
      </c>
      <c r="AI88" s="9">
        <f t="shared" si="31"/>
        <v>0</v>
      </c>
      <c r="AJ88" s="9">
        <f t="shared" si="31"/>
        <v>0</v>
      </c>
      <c r="AK88" s="9">
        <f t="shared" si="31"/>
        <v>44466.51</v>
      </c>
      <c r="AL88" s="9">
        <f t="shared" si="31"/>
        <v>0</v>
      </c>
      <c r="AM88" s="9">
        <f t="shared" si="31"/>
        <v>0</v>
      </c>
      <c r="AN88" s="9">
        <f t="shared" si="31"/>
        <v>0</v>
      </c>
      <c r="AO88" s="9">
        <f t="shared" si="31"/>
        <v>0</v>
      </c>
      <c r="AP88" s="9">
        <f t="shared" si="31"/>
        <v>0</v>
      </c>
      <c r="AQ88" s="9">
        <f t="shared" si="31"/>
        <v>0</v>
      </c>
      <c r="AR88" s="9">
        <f t="shared" si="31"/>
        <v>0</v>
      </c>
      <c r="AS88" s="9">
        <f t="shared" si="31"/>
        <v>0</v>
      </c>
      <c r="AT88" s="365">
        <f t="shared" si="25"/>
        <v>44466.51</v>
      </c>
      <c r="AU88" s="416"/>
      <c r="AV88" s="7">
        <f t="shared" si="20"/>
        <v>0</v>
      </c>
      <c r="AW88" s="7">
        <f t="shared" si="32"/>
        <v>0</v>
      </c>
      <c r="AX88" s="7">
        <f t="shared" si="32"/>
        <v>0</v>
      </c>
      <c r="AY88" s="7">
        <f t="shared" si="32"/>
        <v>0</v>
      </c>
      <c r="AZ88" s="7">
        <f t="shared" si="32"/>
        <v>0</v>
      </c>
      <c r="BA88" s="7">
        <f t="shared" si="32"/>
        <v>0</v>
      </c>
      <c r="BB88" s="7">
        <f t="shared" si="32"/>
        <v>80</v>
      </c>
      <c r="BC88" s="7">
        <f t="shared" si="32"/>
        <v>0</v>
      </c>
      <c r="BD88" s="7">
        <f t="shared" si="32"/>
        <v>0</v>
      </c>
      <c r="BE88" s="7">
        <f t="shared" si="32"/>
        <v>0</v>
      </c>
      <c r="BF88" s="7">
        <f t="shared" si="32"/>
        <v>0</v>
      </c>
      <c r="BG88" s="7">
        <f t="shared" si="32"/>
        <v>0</v>
      </c>
      <c r="BH88" s="7">
        <f t="shared" si="32"/>
        <v>0</v>
      </c>
      <c r="BI88" s="420">
        <f t="shared" si="33"/>
        <v>80</v>
      </c>
    </row>
    <row r="89" spans="1:61">
      <c r="A89" s="1" t="s">
        <v>537</v>
      </c>
      <c r="B89" s="4">
        <v>15036831</v>
      </c>
      <c r="C89" s="1" t="s">
        <v>364</v>
      </c>
      <c r="D89" s="1" t="s">
        <v>364</v>
      </c>
      <c r="E89" s="7">
        <v>2010</v>
      </c>
      <c r="G89" s="1" t="s">
        <v>788</v>
      </c>
      <c r="H89" s="7">
        <v>104</v>
      </c>
      <c r="I89" s="7">
        <v>1</v>
      </c>
      <c r="J89" s="1" t="s">
        <v>765</v>
      </c>
      <c r="K89" s="1" t="s">
        <v>441</v>
      </c>
      <c r="L89" s="1" t="s">
        <v>745</v>
      </c>
      <c r="M89" s="333" t="s">
        <v>744</v>
      </c>
      <c r="N89" s="332">
        <v>40513</v>
      </c>
      <c r="O89" s="181">
        <v>29290.02</v>
      </c>
      <c r="P89" s="184">
        <v>24631.52</v>
      </c>
      <c r="Q89" s="229">
        <v>27204.400000000001</v>
      </c>
      <c r="R89" s="192">
        <v>33727.440000000002</v>
      </c>
      <c r="S89" s="195">
        <v>23512.92</v>
      </c>
      <c r="T89" s="238">
        <v>15579.28</v>
      </c>
      <c r="U89" s="347">
        <v>18416.72</v>
      </c>
      <c r="V89" s="212">
        <v>20464.98</v>
      </c>
      <c r="W89" s="217">
        <v>11480.26</v>
      </c>
      <c r="X89" s="220">
        <v>6250.82</v>
      </c>
      <c r="Y89" s="304">
        <v>9627.0300000000007</v>
      </c>
      <c r="Z89" s="172">
        <v>16257.33</v>
      </c>
      <c r="AA89" s="312">
        <f t="shared" si="27"/>
        <v>82497.14</v>
      </c>
      <c r="AB89" s="384">
        <f t="shared" si="30"/>
        <v>236442.72</v>
      </c>
      <c r="AD89" s="9">
        <f t="shared" si="21"/>
        <v>0</v>
      </c>
      <c r="AE89" s="9">
        <f t="shared" si="31"/>
        <v>82497.14</v>
      </c>
      <c r="AF89" s="9">
        <f t="shared" si="31"/>
        <v>0</v>
      </c>
      <c r="AG89" s="9">
        <f t="shared" si="31"/>
        <v>0</v>
      </c>
      <c r="AH89" s="9">
        <f t="shared" si="31"/>
        <v>0</v>
      </c>
      <c r="AI89" s="9">
        <f t="shared" si="31"/>
        <v>0</v>
      </c>
      <c r="AJ89" s="9">
        <f t="shared" si="31"/>
        <v>0</v>
      </c>
      <c r="AK89" s="9">
        <f t="shared" si="31"/>
        <v>0</v>
      </c>
      <c r="AL89" s="9">
        <f t="shared" si="31"/>
        <v>0</v>
      </c>
      <c r="AM89" s="9">
        <f t="shared" si="31"/>
        <v>0</v>
      </c>
      <c r="AN89" s="9">
        <f t="shared" si="31"/>
        <v>0</v>
      </c>
      <c r="AO89" s="9">
        <f t="shared" si="31"/>
        <v>0</v>
      </c>
      <c r="AP89" s="9">
        <f t="shared" si="31"/>
        <v>0</v>
      </c>
      <c r="AQ89" s="9">
        <f t="shared" si="31"/>
        <v>0</v>
      </c>
      <c r="AR89" s="9">
        <f t="shared" si="31"/>
        <v>0</v>
      </c>
      <c r="AS89" s="9">
        <f t="shared" si="31"/>
        <v>0</v>
      </c>
      <c r="AT89" s="365">
        <f t="shared" si="25"/>
        <v>82497.14</v>
      </c>
      <c r="AU89" s="416"/>
      <c r="AV89" s="7">
        <f t="shared" si="20"/>
        <v>0</v>
      </c>
      <c r="AW89" s="7">
        <f t="shared" si="32"/>
        <v>104</v>
      </c>
      <c r="AX89" s="7">
        <f t="shared" si="32"/>
        <v>0</v>
      </c>
      <c r="AY89" s="7">
        <f t="shared" si="32"/>
        <v>0</v>
      </c>
      <c r="AZ89" s="7">
        <f t="shared" si="32"/>
        <v>0</v>
      </c>
      <c r="BA89" s="7">
        <f t="shared" si="32"/>
        <v>0</v>
      </c>
      <c r="BB89" s="7">
        <f t="shared" si="32"/>
        <v>0</v>
      </c>
      <c r="BC89" s="7">
        <f t="shared" si="32"/>
        <v>0</v>
      </c>
      <c r="BD89" s="7">
        <f t="shared" si="32"/>
        <v>0</v>
      </c>
      <c r="BE89" s="7">
        <f t="shared" si="32"/>
        <v>0</v>
      </c>
      <c r="BF89" s="7">
        <f t="shared" si="32"/>
        <v>0</v>
      </c>
      <c r="BG89" s="7">
        <f t="shared" si="32"/>
        <v>0</v>
      </c>
      <c r="BH89" s="7">
        <f t="shared" si="32"/>
        <v>0</v>
      </c>
      <c r="BI89" s="420">
        <f t="shared" si="33"/>
        <v>104</v>
      </c>
    </row>
    <row r="90" spans="1:61">
      <c r="A90" s="1" t="s">
        <v>970</v>
      </c>
      <c r="B90" s="4">
        <v>15068159</v>
      </c>
      <c r="D90" s="1" t="s">
        <v>925</v>
      </c>
      <c r="E90" s="7"/>
      <c r="H90" s="7"/>
      <c r="I90" s="7"/>
      <c r="M90" s="333"/>
      <c r="N90" s="332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72">
        <v>36.619999999999997</v>
      </c>
      <c r="AA90" s="312">
        <f t="shared" si="27"/>
        <v>36.619999999999997</v>
      </c>
      <c r="AB90" s="392">
        <f t="shared" si="30"/>
        <v>36.619999999999997</v>
      </c>
      <c r="AD90" s="9">
        <f t="shared" si="21"/>
        <v>0</v>
      </c>
      <c r="AE90" s="9">
        <f t="shared" si="31"/>
        <v>0</v>
      </c>
      <c r="AF90" s="9">
        <f t="shared" si="31"/>
        <v>0</v>
      </c>
      <c r="AG90" s="9">
        <f t="shared" si="31"/>
        <v>0</v>
      </c>
      <c r="AH90" s="9">
        <f t="shared" si="31"/>
        <v>0</v>
      </c>
      <c r="AI90" s="9">
        <f t="shared" si="31"/>
        <v>0</v>
      </c>
      <c r="AJ90" s="9">
        <f t="shared" si="31"/>
        <v>0</v>
      </c>
      <c r="AK90" s="9">
        <f t="shared" si="31"/>
        <v>0</v>
      </c>
      <c r="AL90" s="9">
        <f t="shared" si="31"/>
        <v>0</v>
      </c>
      <c r="AM90" s="9">
        <f t="shared" si="31"/>
        <v>0</v>
      </c>
      <c r="AN90" s="9">
        <f t="shared" si="31"/>
        <v>0</v>
      </c>
      <c r="AO90" s="9">
        <f t="shared" si="31"/>
        <v>0</v>
      </c>
      <c r="AP90" s="9">
        <f t="shared" si="31"/>
        <v>0</v>
      </c>
      <c r="AQ90" s="9">
        <f t="shared" si="31"/>
        <v>0</v>
      </c>
      <c r="AR90" s="9">
        <f t="shared" si="31"/>
        <v>36.619999999999997</v>
      </c>
      <c r="AS90" s="9">
        <f t="shared" si="31"/>
        <v>0</v>
      </c>
      <c r="AT90" s="365">
        <f t="shared" si="25"/>
        <v>36.619999999999997</v>
      </c>
      <c r="AU90" s="416"/>
      <c r="AV90" s="7">
        <f t="shared" si="20"/>
        <v>0</v>
      </c>
      <c r="AW90" s="7">
        <f t="shared" si="32"/>
        <v>0</v>
      </c>
      <c r="AX90" s="7">
        <f t="shared" si="32"/>
        <v>0</v>
      </c>
      <c r="AY90" s="7">
        <f t="shared" si="32"/>
        <v>0</v>
      </c>
      <c r="AZ90" s="7">
        <f t="shared" si="32"/>
        <v>0</v>
      </c>
      <c r="BA90" s="7">
        <f t="shared" si="32"/>
        <v>0</v>
      </c>
      <c r="BB90" s="7">
        <f t="shared" si="32"/>
        <v>0</v>
      </c>
      <c r="BC90" s="7">
        <f t="shared" si="32"/>
        <v>0</v>
      </c>
      <c r="BD90" s="7">
        <f t="shared" si="32"/>
        <v>0</v>
      </c>
      <c r="BE90" s="7">
        <f t="shared" si="32"/>
        <v>0</v>
      </c>
      <c r="BF90" s="7">
        <f t="shared" si="32"/>
        <v>0</v>
      </c>
      <c r="BG90" s="7">
        <f t="shared" si="32"/>
        <v>0</v>
      </c>
      <c r="BH90" s="7">
        <f t="shared" si="32"/>
        <v>0</v>
      </c>
      <c r="BI90" s="420">
        <f t="shared" si="33"/>
        <v>0</v>
      </c>
    </row>
    <row r="91" spans="1:61">
      <c r="A91" s="1" t="s">
        <v>535</v>
      </c>
      <c r="B91" s="4">
        <v>15061713</v>
      </c>
      <c r="D91" s="1" t="s">
        <v>511</v>
      </c>
      <c r="E91" s="7"/>
      <c r="H91" s="7">
        <v>106</v>
      </c>
      <c r="I91" s="7"/>
      <c r="M91" s="333"/>
      <c r="N91" s="332"/>
      <c r="O91" s="32"/>
      <c r="P91" s="32"/>
      <c r="Q91" s="184">
        <v>5010.16</v>
      </c>
      <c r="R91" s="184">
        <v>4744.57</v>
      </c>
      <c r="S91" s="195">
        <v>5553.63</v>
      </c>
      <c r="T91" s="238">
        <v>5190.17</v>
      </c>
      <c r="U91" s="184">
        <v>4720.43</v>
      </c>
      <c r="V91" s="184">
        <v>5394.32</v>
      </c>
      <c r="W91" s="220">
        <v>5559.3</v>
      </c>
      <c r="X91" s="220">
        <v>5781.03</v>
      </c>
      <c r="Y91" s="184">
        <v>6496.39</v>
      </c>
      <c r="Z91" s="184">
        <v>5532.84</v>
      </c>
      <c r="AA91" s="312">
        <f t="shared" si="27"/>
        <v>33484.31</v>
      </c>
      <c r="AB91" s="384">
        <f t="shared" si="30"/>
        <v>53982.84</v>
      </c>
      <c r="AD91" s="9">
        <f t="shared" si="21"/>
        <v>0</v>
      </c>
      <c r="AE91" s="9">
        <f t="shared" si="31"/>
        <v>0</v>
      </c>
      <c r="AF91" s="9">
        <f t="shared" si="31"/>
        <v>0</v>
      </c>
      <c r="AG91" s="9">
        <f t="shared" si="31"/>
        <v>0</v>
      </c>
      <c r="AH91" s="9">
        <f t="shared" si="31"/>
        <v>0</v>
      </c>
      <c r="AI91" s="9">
        <f t="shared" si="31"/>
        <v>0</v>
      </c>
      <c r="AJ91" s="9">
        <f t="shared" si="31"/>
        <v>0</v>
      </c>
      <c r="AK91" s="9">
        <f t="shared" si="31"/>
        <v>33484.31</v>
      </c>
      <c r="AL91" s="9">
        <f t="shared" si="31"/>
        <v>0</v>
      </c>
      <c r="AM91" s="9">
        <f t="shared" si="31"/>
        <v>0</v>
      </c>
      <c r="AN91" s="9">
        <f t="shared" si="31"/>
        <v>0</v>
      </c>
      <c r="AO91" s="9">
        <f t="shared" si="31"/>
        <v>0</v>
      </c>
      <c r="AP91" s="9">
        <f t="shared" si="31"/>
        <v>0</v>
      </c>
      <c r="AQ91" s="9">
        <f t="shared" si="31"/>
        <v>0</v>
      </c>
      <c r="AR91" s="9">
        <f t="shared" si="31"/>
        <v>0</v>
      </c>
      <c r="AS91" s="9">
        <f t="shared" si="31"/>
        <v>0</v>
      </c>
      <c r="AT91" s="365">
        <f t="shared" si="25"/>
        <v>33484.31</v>
      </c>
      <c r="AU91" s="416"/>
      <c r="AV91" s="7">
        <f t="shared" si="20"/>
        <v>0</v>
      </c>
      <c r="AW91" s="7">
        <f t="shared" si="32"/>
        <v>0</v>
      </c>
      <c r="AX91" s="7">
        <f t="shared" si="32"/>
        <v>0</v>
      </c>
      <c r="AY91" s="7">
        <f t="shared" si="32"/>
        <v>0</v>
      </c>
      <c r="AZ91" s="7">
        <f t="shared" si="32"/>
        <v>0</v>
      </c>
      <c r="BA91" s="7">
        <f t="shared" si="32"/>
        <v>0</v>
      </c>
      <c r="BB91" s="7">
        <f t="shared" si="32"/>
        <v>106</v>
      </c>
      <c r="BC91" s="7">
        <f t="shared" si="32"/>
        <v>0</v>
      </c>
      <c r="BD91" s="7">
        <f t="shared" si="32"/>
        <v>0</v>
      </c>
      <c r="BE91" s="7">
        <f t="shared" si="32"/>
        <v>0</v>
      </c>
      <c r="BF91" s="7">
        <f t="shared" si="32"/>
        <v>0</v>
      </c>
      <c r="BG91" s="7">
        <f t="shared" si="32"/>
        <v>0</v>
      </c>
      <c r="BH91" s="7">
        <f t="shared" si="32"/>
        <v>0</v>
      </c>
      <c r="BI91" s="420">
        <f t="shared" si="33"/>
        <v>106</v>
      </c>
    </row>
    <row r="92" spans="1:61">
      <c r="A92" s="1" t="s">
        <v>530</v>
      </c>
      <c r="B92" s="42">
        <v>15059439</v>
      </c>
      <c r="C92" s="11" t="s">
        <v>843</v>
      </c>
      <c r="D92" s="11" t="s">
        <v>280</v>
      </c>
      <c r="E92" s="338"/>
      <c r="F92" s="340"/>
      <c r="H92" s="7">
        <v>105</v>
      </c>
      <c r="I92" s="7"/>
      <c r="K92" s="1" t="s">
        <v>443</v>
      </c>
      <c r="L92" s="1" t="s">
        <v>745</v>
      </c>
      <c r="M92" s="333" t="s">
        <v>744</v>
      </c>
      <c r="N92" s="332">
        <v>40509</v>
      </c>
      <c r="O92" s="181">
        <v>9913.6299999999992</v>
      </c>
      <c r="P92" s="184">
        <v>9810.5499999999993</v>
      </c>
      <c r="Q92" s="229">
        <v>10096.99</v>
      </c>
      <c r="R92" s="192">
        <v>13519.03</v>
      </c>
      <c r="S92" s="195">
        <v>6217.37</v>
      </c>
      <c r="T92" s="238">
        <v>4655.72</v>
      </c>
      <c r="U92" s="347">
        <v>4363.47</v>
      </c>
      <c r="V92" s="212">
        <v>5294.55</v>
      </c>
      <c r="W92" s="32"/>
      <c r="X92" s="220">
        <v>2311.98</v>
      </c>
      <c r="Y92" s="304">
        <v>3497.44</v>
      </c>
      <c r="Z92" s="172">
        <v>4269.8900000000003</v>
      </c>
      <c r="AA92" s="312">
        <f t="shared" si="27"/>
        <v>19737.330000000002</v>
      </c>
      <c r="AB92" s="395">
        <f t="shared" ref="AB92:AB107" si="34">SUM(O92:Z92)</f>
        <v>73950.62000000001</v>
      </c>
      <c r="AD92" s="9">
        <f t="shared" si="21"/>
        <v>0</v>
      </c>
      <c r="AE92" s="9">
        <f t="shared" si="31"/>
        <v>0</v>
      </c>
      <c r="AF92" s="9">
        <f t="shared" si="31"/>
        <v>0</v>
      </c>
      <c r="AG92" s="9">
        <f t="shared" si="31"/>
        <v>0</v>
      </c>
      <c r="AH92" s="9">
        <f t="shared" si="31"/>
        <v>0</v>
      </c>
      <c r="AI92" s="9">
        <f t="shared" si="31"/>
        <v>19737.330000000002</v>
      </c>
      <c r="AJ92" s="9">
        <f t="shared" si="31"/>
        <v>0</v>
      </c>
      <c r="AK92" s="9">
        <f t="shared" si="31"/>
        <v>0</v>
      </c>
      <c r="AL92" s="9">
        <f t="shared" si="31"/>
        <v>0</v>
      </c>
      <c r="AM92" s="9">
        <f t="shared" si="31"/>
        <v>0</v>
      </c>
      <c r="AN92" s="9">
        <f t="shared" si="31"/>
        <v>0</v>
      </c>
      <c r="AO92" s="9">
        <f t="shared" si="31"/>
        <v>0</v>
      </c>
      <c r="AP92" s="9">
        <f t="shared" si="31"/>
        <v>0</v>
      </c>
      <c r="AQ92" s="9">
        <f t="shared" si="31"/>
        <v>0</v>
      </c>
      <c r="AR92" s="9">
        <f t="shared" si="31"/>
        <v>0</v>
      </c>
      <c r="AS92" s="9">
        <f t="shared" si="31"/>
        <v>0</v>
      </c>
      <c r="AT92" s="365">
        <f t="shared" si="25"/>
        <v>19737.330000000002</v>
      </c>
      <c r="AU92" s="416"/>
      <c r="AV92" s="7">
        <f t="shared" si="20"/>
        <v>0</v>
      </c>
      <c r="AW92" s="7">
        <f t="shared" si="32"/>
        <v>0</v>
      </c>
      <c r="AX92" s="7">
        <f t="shared" si="32"/>
        <v>0</v>
      </c>
      <c r="AY92" s="7">
        <f t="shared" si="32"/>
        <v>0</v>
      </c>
      <c r="AZ92" s="7">
        <f t="shared" si="32"/>
        <v>105</v>
      </c>
      <c r="BA92" s="7">
        <f t="shared" si="32"/>
        <v>0</v>
      </c>
      <c r="BB92" s="7">
        <f t="shared" si="32"/>
        <v>0</v>
      </c>
      <c r="BC92" s="7">
        <f t="shared" si="32"/>
        <v>0</v>
      </c>
      <c r="BD92" s="7">
        <f t="shared" si="32"/>
        <v>0</v>
      </c>
      <c r="BE92" s="7">
        <f t="shared" si="32"/>
        <v>0</v>
      </c>
      <c r="BF92" s="7">
        <f t="shared" si="32"/>
        <v>0</v>
      </c>
      <c r="BG92" s="7">
        <f t="shared" si="32"/>
        <v>0</v>
      </c>
      <c r="BH92" s="7">
        <f t="shared" si="32"/>
        <v>0</v>
      </c>
      <c r="BI92" s="420">
        <f t="shared" si="33"/>
        <v>105</v>
      </c>
    </row>
    <row r="93" spans="1:61">
      <c r="A93" s="1" t="s">
        <v>659</v>
      </c>
      <c r="B93" s="4">
        <v>15062798</v>
      </c>
      <c r="C93" s="1" t="s">
        <v>281</v>
      </c>
      <c r="D93" s="1" t="s">
        <v>281</v>
      </c>
      <c r="E93" s="7"/>
      <c r="G93" s="1" t="s">
        <v>281</v>
      </c>
      <c r="H93" s="7">
        <v>29</v>
      </c>
      <c r="I93" s="7">
        <v>0</v>
      </c>
      <c r="K93" s="1" t="s">
        <v>444</v>
      </c>
      <c r="L93" s="1" t="s">
        <v>745</v>
      </c>
      <c r="M93" s="333" t="s">
        <v>744</v>
      </c>
      <c r="N93" s="332">
        <v>40505</v>
      </c>
      <c r="O93" s="181">
        <v>1425.6</v>
      </c>
      <c r="P93" s="184">
        <v>1528.29</v>
      </c>
      <c r="Q93" s="229">
        <v>1951.51</v>
      </c>
      <c r="R93" s="192">
        <v>2374.5100000000002</v>
      </c>
      <c r="S93" s="195">
        <v>2218.21</v>
      </c>
      <c r="T93" s="238">
        <v>2438.3200000000002</v>
      </c>
      <c r="U93" s="347">
        <v>2265.17</v>
      </c>
      <c r="V93" s="212">
        <v>1556.17</v>
      </c>
      <c r="W93" s="217">
        <v>1296.1300000000001</v>
      </c>
      <c r="X93" s="220">
        <v>1275.22</v>
      </c>
      <c r="Y93" s="172">
        <v>1834.13</v>
      </c>
      <c r="Z93" s="172">
        <v>1747.52</v>
      </c>
      <c r="AA93" s="312">
        <f t="shared" si="27"/>
        <v>9974.34</v>
      </c>
      <c r="AB93" s="384">
        <f t="shared" si="34"/>
        <v>21910.780000000002</v>
      </c>
      <c r="AD93" s="9">
        <f t="shared" si="21"/>
        <v>0</v>
      </c>
      <c r="AE93" s="9">
        <f t="shared" si="31"/>
        <v>0</v>
      </c>
      <c r="AF93" s="9">
        <f t="shared" si="31"/>
        <v>0</v>
      </c>
      <c r="AG93" s="9">
        <f t="shared" si="31"/>
        <v>0</v>
      </c>
      <c r="AH93" s="9">
        <f t="shared" si="31"/>
        <v>0</v>
      </c>
      <c r="AI93" s="9">
        <f t="shared" si="31"/>
        <v>0</v>
      </c>
      <c r="AJ93" s="9">
        <f t="shared" si="31"/>
        <v>0</v>
      </c>
      <c r="AK93" s="9">
        <f t="shared" si="31"/>
        <v>0</v>
      </c>
      <c r="AL93" s="9">
        <f t="shared" si="31"/>
        <v>0</v>
      </c>
      <c r="AM93" s="9">
        <f t="shared" si="31"/>
        <v>0</v>
      </c>
      <c r="AN93" s="9">
        <f t="shared" si="31"/>
        <v>0</v>
      </c>
      <c r="AO93" s="9">
        <f t="shared" si="31"/>
        <v>9974.34</v>
      </c>
      <c r="AP93" s="9">
        <f t="shared" si="31"/>
        <v>0</v>
      </c>
      <c r="AQ93" s="9">
        <f t="shared" si="31"/>
        <v>0</v>
      </c>
      <c r="AR93" s="9">
        <f t="shared" si="31"/>
        <v>0</v>
      </c>
      <c r="AS93" s="9">
        <f t="shared" si="31"/>
        <v>0</v>
      </c>
      <c r="AT93" s="365">
        <f t="shared" si="25"/>
        <v>9974.34</v>
      </c>
      <c r="AU93" s="416"/>
      <c r="AV93" s="7">
        <f t="shared" si="20"/>
        <v>0</v>
      </c>
      <c r="AW93" s="7">
        <f t="shared" si="32"/>
        <v>0</v>
      </c>
      <c r="AX93" s="7">
        <f t="shared" si="32"/>
        <v>0</v>
      </c>
      <c r="AY93" s="7">
        <f t="shared" si="32"/>
        <v>0</v>
      </c>
      <c r="AZ93" s="7">
        <f t="shared" si="32"/>
        <v>0</v>
      </c>
      <c r="BA93" s="7">
        <f t="shared" si="32"/>
        <v>0</v>
      </c>
      <c r="BB93" s="7">
        <f t="shared" si="32"/>
        <v>0</v>
      </c>
      <c r="BC93" s="7">
        <f t="shared" si="32"/>
        <v>0</v>
      </c>
      <c r="BD93" s="7">
        <f t="shared" si="32"/>
        <v>0</v>
      </c>
      <c r="BE93" s="7">
        <f t="shared" si="32"/>
        <v>0</v>
      </c>
      <c r="BF93" s="7">
        <f t="shared" si="32"/>
        <v>29</v>
      </c>
      <c r="BG93" s="7">
        <f t="shared" si="32"/>
        <v>0</v>
      </c>
      <c r="BH93" s="7">
        <f t="shared" si="32"/>
        <v>0</v>
      </c>
      <c r="BI93" s="420">
        <f t="shared" si="33"/>
        <v>29</v>
      </c>
    </row>
    <row r="94" spans="1:61">
      <c r="A94" s="1" t="s">
        <v>660</v>
      </c>
      <c r="B94" s="4">
        <v>15051246</v>
      </c>
      <c r="C94" s="1" t="s">
        <v>91</v>
      </c>
      <c r="D94" s="1" t="s">
        <v>91</v>
      </c>
      <c r="E94" s="338">
        <v>37956</v>
      </c>
      <c r="G94" s="1" t="s">
        <v>790</v>
      </c>
      <c r="H94" s="7">
        <v>108</v>
      </c>
      <c r="I94" s="7">
        <v>1</v>
      </c>
      <c r="J94" s="1" t="s">
        <v>765</v>
      </c>
      <c r="K94" s="1" t="s">
        <v>445</v>
      </c>
      <c r="L94" s="1" t="s">
        <v>745</v>
      </c>
      <c r="M94" s="333" t="s">
        <v>744</v>
      </c>
      <c r="N94" s="332">
        <v>40504</v>
      </c>
      <c r="O94" s="181">
        <v>29462.7</v>
      </c>
      <c r="P94" s="184">
        <v>32399.200000000001</v>
      </c>
      <c r="Q94" s="229">
        <v>32876.559999999998</v>
      </c>
      <c r="R94" s="192">
        <v>39864.58</v>
      </c>
      <c r="S94" s="195">
        <v>22857.61</v>
      </c>
      <c r="T94" s="238">
        <v>16221.06</v>
      </c>
      <c r="U94" s="347">
        <v>15734.69</v>
      </c>
      <c r="V94" s="212">
        <v>19671.21</v>
      </c>
      <c r="W94" s="217">
        <v>10634.18</v>
      </c>
      <c r="X94" s="220">
        <v>1675.78</v>
      </c>
      <c r="Y94" s="304">
        <v>4361.01</v>
      </c>
      <c r="Z94" s="172">
        <v>9763.7800000000007</v>
      </c>
      <c r="AA94" s="312">
        <f t="shared" si="27"/>
        <v>61840.65</v>
      </c>
      <c r="AB94" s="384">
        <f t="shared" si="34"/>
        <v>235522.35999999996</v>
      </c>
      <c r="AD94" s="9">
        <f t="shared" si="21"/>
        <v>0</v>
      </c>
      <c r="AE94" s="9">
        <f t="shared" si="31"/>
        <v>0</v>
      </c>
      <c r="AF94" s="9">
        <f t="shared" si="31"/>
        <v>0</v>
      </c>
      <c r="AG94" s="9">
        <f t="shared" si="31"/>
        <v>0</v>
      </c>
      <c r="AH94" s="9">
        <f t="shared" si="31"/>
        <v>0</v>
      </c>
      <c r="AI94" s="9">
        <f t="shared" si="31"/>
        <v>0</v>
      </c>
      <c r="AJ94" s="9">
        <f t="shared" si="31"/>
        <v>0</v>
      </c>
      <c r="AK94" s="9">
        <f t="shared" si="31"/>
        <v>0</v>
      </c>
      <c r="AL94" s="9">
        <f t="shared" si="31"/>
        <v>0</v>
      </c>
      <c r="AM94" s="9">
        <f t="shared" si="31"/>
        <v>0</v>
      </c>
      <c r="AN94" s="9">
        <f t="shared" si="31"/>
        <v>0</v>
      </c>
      <c r="AO94" s="9">
        <f t="shared" si="31"/>
        <v>0</v>
      </c>
      <c r="AP94" s="9">
        <f t="shared" si="31"/>
        <v>61840.65</v>
      </c>
      <c r="AQ94" s="9">
        <f t="shared" si="31"/>
        <v>0</v>
      </c>
      <c r="AR94" s="9">
        <f t="shared" si="31"/>
        <v>0</v>
      </c>
      <c r="AS94" s="9">
        <f t="shared" si="31"/>
        <v>0</v>
      </c>
      <c r="AT94" s="365">
        <f t="shared" si="25"/>
        <v>61840.65</v>
      </c>
      <c r="AU94" s="416"/>
      <c r="AV94" s="7">
        <f t="shared" si="20"/>
        <v>0</v>
      </c>
      <c r="AW94" s="7">
        <f t="shared" si="32"/>
        <v>0</v>
      </c>
      <c r="AX94" s="7">
        <f t="shared" si="32"/>
        <v>0</v>
      </c>
      <c r="AY94" s="7">
        <f t="shared" si="32"/>
        <v>0</v>
      </c>
      <c r="AZ94" s="7">
        <f t="shared" si="32"/>
        <v>0</v>
      </c>
      <c r="BA94" s="7">
        <f t="shared" si="32"/>
        <v>0</v>
      </c>
      <c r="BB94" s="7">
        <f t="shared" si="32"/>
        <v>0</v>
      </c>
      <c r="BC94" s="7">
        <f t="shared" si="32"/>
        <v>0</v>
      </c>
      <c r="BD94" s="7">
        <f t="shared" si="32"/>
        <v>0</v>
      </c>
      <c r="BE94" s="7">
        <f t="shared" si="32"/>
        <v>0</v>
      </c>
      <c r="BF94" s="7">
        <f t="shared" si="32"/>
        <v>0</v>
      </c>
      <c r="BG94" s="7">
        <f t="shared" si="32"/>
        <v>108</v>
      </c>
      <c r="BH94" s="7">
        <f t="shared" si="32"/>
        <v>0</v>
      </c>
      <c r="BI94" s="420">
        <f t="shared" si="33"/>
        <v>108</v>
      </c>
    </row>
    <row r="95" spans="1:61">
      <c r="A95" s="1" t="s">
        <v>705</v>
      </c>
      <c r="B95" s="4">
        <v>15032636</v>
      </c>
      <c r="C95" s="1" t="s">
        <v>624</v>
      </c>
      <c r="D95" s="1" t="s">
        <v>574</v>
      </c>
      <c r="E95" s="7">
        <v>2015</v>
      </c>
      <c r="G95" s="1" t="s">
        <v>574</v>
      </c>
      <c r="H95" s="7">
        <v>107</v>
      </c>
      <c r="I95" s="7">
        <v>1</v>
      </c>
      <c r="J95" s="1" t="s">
        <v>753</v>
      </c>
      <c r="K95" s="1" t="s">
        <v>791</v>
      </c>
      <c r="L95" s="1" t="s">
        <v>745</v>
      </c>
      <c r="M95" s="333" t="s">
        <v>744</v>
      </c>
      <c r="N95" s="332">
        <v>40511</v>
      </c>
      <c r="O95" s="181">
        <v>25775.74</v>
      </c>
      <c r="P95" s="184">
        <v>24550.37</v>
      </c>
      <c r="Q95" s="229">
        <v>25559.01</v>
      </c>
      <c r="R95" s="192">
        <v>31058.21</v>
      </c>
      <c r="S95" s="195">
        <v>20392.650000000001</v>
      </c>
      <c r="T95" s="238">
        <v>16768.849999999999</v>
      </c>
      <c r="U95" s="347">
        <v>15040.47</v>
      </c>
      <c r="V95" s="212">
        <v>18765.689999999999</v>
      </c>
      <c r="W95" s="217">
        <v>12823.01</v>
      </c>
      <c r="X95" s="220">
        <v>6973.99</v>
      </c>
      <c r="Y95" s="304">
        <v>11786.45</v>
      </c>
      <c r="Z95" s="172">
        <v>14346.1</v>
      </c>
      <c r="AA95" s="312">
        <f t="shared" si="27"/>
        <v>79735.710000000006</v>
      </c>
      <c r="AB95" s="392">
        <f t="shared" si="34"/>
        <v>223840.54</v>
      </c>
      <c r="AD95" s="9">
        <f t="shared" si="21"/>
        <v>0</v>
      </c>
      <c r="AE95" s="9">
        <f t="shared" si="31"/>
        <v>0</v>
      </c>
      <c r="AF95" s="9">
        <f t="shared" si="31"/>
        <v>0</v>
      </c>
      <c r="AG95" s="9">
        <f t="shared" si="31"/>
        <v>0</v>
      </c>
      <c r="AH95" s="9">
        <f t="shared" si="31"/>
        <v>0</v>
      </c>
      <c r="AI95" s="9">
        <f t="shared" si="31"/>
        <v>0</v>
      </c>
      <c r="AJ95" s="9">
        <f t="shared" si="31"/>
        <v>0</v>
      </c>
      <c r="AK95" s="9">
        <f t="shared" si="31"/>
        <v>0</v>
      </c>
      <c r="AL95" s="9">
        <f t="shared" si="31"/>
        <v>0</v>
      </c>
      <c r="AM95" s="9">
        <f t="shared" si="31"/>
        <v>0</v>
      </c>
      <c r="AN95" s="9">
        <f t="shared" si="31"/>
        <v>0</v>
      </c>
      <c r="AO95" s="9">
        <f t="shared" si="31"/>
        <v>0</v>
      </c>
      <c r="AP95" s="9">
        <f t="shared" si="31"/>
        <v>0</v>
      </c>
      <c r="AQ95" s="9">
        <f t="shared" si="31"/>
        <v>0</v>
      </c>
      <c r="AR95" s="9">
        <f t="shared" si="31"/>
        <v>0</v>
      </c>
      <c r="AS95" s="9">
        <f t="shared" si="31"/>
        <v>79735.710000000006</v>
      </c>
      <c r="AT95" s="365">
        <f t="shared" si="25"/>
        <v>79735.710000000006</v>
      </c>
      <c r="AU95" s="416"/>
      <c r="AV95" s="7">
        <f t="shared" si="20"/>
        <v>0</v>
      </c>
      <c r="AW95" s="7">
        <f t="shared" si="32"/>
        <v>0</v>
      </c>
      <c r="AX95" s="7">
        <f t="shared" si="32"/>
        <v>0</v>
      </c>
      <c r="AY95" s="7">
        <f t="shared" si="32"/>
        <v>0</v>
      </c>
      <c r="AZ95" s="7">
        <f t="shared" si="32"/>
        <v>0</v>
      </c>
      <c r="BA95" s="7">
        <f t="shared" si="32"/>
        <v>0</v>
      </c>
      <c r="BB95" s="7">
        <f t="shared" si="32"/>
        <v>0</v>
      </c>
      <c r="BC95" s="7">
        <f t="shared" si="32"/>
        <v>0</v>
      </c>
      <c r="BD95" s="7">
        <f t="shared" si="32"/>
        <v>0</v>
      </c>
      <c r="BE95" s="7">
        <f t="shared" si="32"/>
        <v>0</v>
      </c>
      <c r="BF95" s="7">
        <f t="shared" si="32"/>
        <v>0</v>
      </c>
      <c r="BG95" s="7">
        <f t="shared" si="32"/>
        <v>0</v>
      </c>
      <c r="BH95" s="7">
        <f t="shared" si="32"/>
        <v>107</v>
      </c>
      <c r="BI95" s="420">
        <f t="shared" si="33"/>
        <v>107</v>
      </c>
    </row>
    <row r="96" spans="1:61">
      <c r="A96" s="1" t="s">
        <v>970</v>
      </c>
      <c r="B96" s="4">
        <v>13032900</v>
      </c>
      <c r="C96" s="1" t="s">
        <v>569</v>
      </c>
      <c r="D96" s="1" t="s">
        <v>568</v>
      </c>
      <c r="K96" s="1" t="s">
        <v>840</v>
      </c>
      <c r="L96" s="1" t="s">
        <v>745</v>
      </c>
      <c r="M96" s="1" t="s">
        <v>744</v>
      </c>
      <c r="N96" s="1">
        <v>40509</v>
      </c>
      <c r="O96" s="181">
        <v>137.74</v>
      </c>
      <c r="P96" s="184">
        <v>64.599999999999994</v>
      </c>
      <c r="Q96" s="229">
        <v>306.7</v>
      </c>
      <c r="R96" s="192">
        <v>363.67</v>
      </c>
      <c r="S96" s="195">
        <v>152.15</v>
      </c>
      <c r="T96" s="238">
        <v>243.36</v>
      </c>
      <c r="U96" s="136"/>
      <c r="V96" s="136"/>
      <c r="W96" s="136"/>
      <c r="X96" s="136"/>
      <c r="Y96" s="136"/>
      <c r="Z96" s="172">
        <v>196.35</v>
      </c>
      <c r="AA96" s="312">
        <f t="shared" si="27"/>
        <v>196.35</v>
      </c>
      <c r="AB96" s="392">
        <f t="shared" si="34"/>
        <v>1464.5700000000002</v>
      </c>
      <c r="AD96" s="9">
        <f t="shared" si="21"/>
        <v>0</v>
      </c>
      <c r="AE96" s="9">
        <f t="shared" si="31"/>
        <v>0</v>
      </c>
      <c r="AF96" s="9">
        <f t="shared" si="31"/>
        <v>0</v>
      </c>
      <c r="AG96" s="9">
        <f t="shared" si="31"/>
        <v>0</v>
      </c>
      <c r="AH96" s="9">
        <f t="shared" si="31"/>
        <v>0</v>
      </c>
      <c r="AI96" s="9">
        <f t="shared" si="31"/>
        <v>0</v>
      </c>
      <c r="AJ96" s="9">
        <f t="shared" si="31"/>
        <v>0</v>
      </c>
      <c r="AK96" s="9">
        <f t="shared" si="31"/>
        <v>0</v>
      </c>
      <c r="AL96" s="9">
        <f t="shared" si="31"/>
        <v>0</v>
      </c>
      <c r="AM96" s="9">
        <f t="shared" si="31"/>
        <v>0</v>
      </c>
      <c r="AN96" s="9">
        <f t="shared" si="31"/>
        <v>0</v>
      </c>
      <c r="AO96" s="9">
        <f t="shared" si="31"/>
        <v>0</v>
      </c>
      <c r="AP96" s="9">
        <f t="shared" si="31"/>
        <v>0</v>
      </c>
      <c r="AQ96" s="9">
        <f t="shared" si="31"/>
        <v>0</v>
      </c>
      <c r="AR96" s="9">
        <f t="shared" si="31"/>
        <v>196.35</v>
      </c>
      <c r="AS96" s="9">
        <f t="shared" si="31"/>
        <v>0</v>
      </c>
      <c r="AT96" s="365">
        <f t="shared" si="25"/>
        <v>196.35</v>
      </c>
      <c r="AU96" s="416"/>
      <c r="AV96" s="7">
        <f t="shared" si="20"/>
        <v>0</v>
      </c>
      <c r="AW96" s="7">
        <f t="shared" si="32"/>
        <v>0</v>
      </c>
      <c r="AX96" s="7">
        <f t="shared" si="32"/>
        <v>0</v>
      </c>
      <c r="AY96" s="7">
        <f t="shared" si="32"/>
        <v>0</v>
      </c>
      <c r="AZ96" s="7">
        <f t="shared" si="32"/>
        <v>0</v>
      </c>
      <c r="BA96" s="7">
        <f t="shared" si="32"/>
        <v>0</v>
      </c>
      <c r="BB96" s="7">
        <f t="shared" si="32"/>
        <v>0</v>
      </c>
      <c r="BC96" s="7">
        <f t="shared" si="32"/>
        <v>0</v>
      </c>
      <c r="BD96" s="7">
        <f t="shared" si="32"/>
        <v>0</v>
      </c>
      <c r="BE96" s="7">
        <f t="shared" si="32"/>
        <v>0</v>
      </c>
      <c r="BF96" s="7">
        <f t="shared" si="32"/>
        <v>0</v>
      </c>
      <c r="BG96" s="7">
        <f t="shared" si="32"/>
        <v>0</v>
      </c>
      <c r="BH96" s="7">
        <f t="shared" si="32"/>
        <v>0</v>
      </c>
      <c r="BI96" s="420">
        <f t="shared" si="33"/>
        <v>0</v>
      </c>
    </row>
    <row r="97" spans="1:61">
      <c r="A97" s="1" t="s">
        <v>705</v>
      </c>
      <c r="B97" s="4">
        <v>7004900</v>
      </c>
      <c r="C97" s="1" t="s">
        <v>393</v>
      </c>
      <c r="D97" s="1" t="s">
        <v>393</v>
      </c>
      <c r="E97" s="7"/>
      <c r="F97" s="7">
        <v>120</v>
      </c>
      <c r="G97" s="1" t="s">
        <v>285</v>
      </c>
      <c r="H97" s="7">
        <v>25</v>
      </c>
      <c r="I97" s="7">
        <v>0</v>
      </c>
      <c r="K97" s="1" t="s">
        <v>449</v>
      </c>
      <c r="L97" s="1" t="s">
        <v>745</v>
      </c>
      <c r="M97" s="333" t="s">
        <v>744</v>
      </c>
      <c r="N97" s="332">
        <v>40511</v>
      </c>
      <c r="O97" s="181">
        <v>361.68</v>
      </c>
      <c r="P97" s="184">
        <v>409.28</v>
      </c>
      <c r="Q97" s="229">
        <v>457.3</v>
      </c>
      <c r="R97" s="192">
        <v>427.98</v>
      </c>
      <c r="S97" s="195">
        <v>400.78</v>
      </c>
      <c r="T97" s="238">
        <v>453.9</v>
      </c>
      <c r="U97" s="347">
        <v>417.78</v>
      </c>
      <c r="V97" s="212">
        <v>532.1</v>
      </c>
      <c r="W97" s="217">
        <v>456.03</v>
      </c>
      <c r="X97" s="220">
        <v>423.73</v>
      </c>
      <c r="Y97" s="304">
        <v>392.7</v>
      </c>
      <c r="Z97" s="172">
        <v>419.05</v>
      </c>
      <c r="AA97" s="312">
        <f t="shared" si="27"/>
        <v>2641.39</v>
      </c>
      <c r="AB97" s="392">
        <f t="shared" si="34"/>
        <v>5152.3099999999995</v>
      </c>
      <c r="AD97" s="9">
        <f t="shared" si="21"/>
        <v>0</v>
      </c>
      <c r="AE97" s="9">
        <f t="shared" si="31"/>
        <v>0</v>
      </c>
      <c r="AF97" s="9">
        <f t="shared" si="31"/>
        <v>0</v>
      </c>
      <c r="AG97" s="9">
        <f t="shared" si="31"/>
        <v>0</v>
      </c>
      <c r="AH97" s="9">
        <f t="shared" si="31"/>
        <v>0</v>
      </c>
      <c r="AI97" s="9">
        <f t="shared" si="31"/>
        <v>0</v>
      </c>
      <c r="AJ97" s="9">
        <f t="shared" si="31"/>
        <v>0</v>
      </c>
      <c r="AK97" s="9">
        <f t="shared" si="31"/>
        <v>0</v>
      </c>
      <c r="AL97" s="9">
        <f t="shared" si="31"/>
        <v>0</v>
      </c>
      <c r="AM97" s="9">
        <f t="shared" si="31"/>
        <v>0</v>
      </c>
      <c r="AN97" s="9">
        <f t="shared" si="31"/>
        <v>0</v>
      </c>
      <c r="AO97" s="9">
        <f t="shared" si="31"/>
        <v>0</v>
      </c>
      <c r="AP97" s="9">
        <f t="shared" si="31"/>
        <v>0</v>
      </c>
      <c r="AQ97" s="9">
        <f t="shared" si="31"/>
        <v>0</v>
      </c>
      <c r="AR97" s="9">
        <f t="shared" si="31"/>
        <v>0</v>
      </c>
      <c r="AS97" s="9">
        <f t="shared" si="31"/>
        <v>2641.39</v>
      </c>
      <c r="AT97" s="365">
        <f t="shared" si="25"/>
        <v>2641.39</v>
      </c>
      <c r="AU97" s="416"/>
      <c r="AV97" s="7">
        <f t="shared" si="20"/>
        <v>0</v>
      </c>
      <c r="AW97" s="7">
        <f t="shared" si="32"/>
        <v>0</v>
      </c>
      <c r="AX97" s="7">
        <f t="shared" si="32"/>
        <v>0</v>
      </c>
      <c r="AY97" s="7">
        <f t="shared" si="32"/>
        <v>0</v>
      </c>
      <c r="AZ97" s="7">
        <f t="shared" si="32"/>
        <v>0</v>
      </c>
      <c r="BA97" s="7">
        <f t="shared" si="32"/>
        <v>0</v>
      </c>
      <c r="BB97" s="7">
        <f t="shared" si="32"/>
        <v>0</v>
      </c>
      <c r="BC97" s="7">
        <f t="shared" si="32"/>
        <v>0</v>
      </c>
      <c r="BD97" s="7">
        <f t="shared" si="32"/>
        <v>0</v>
      </c>
      <c r="BE97" s="7">
        <f t="shared" si="32"/>
        <v>0</v>
      </c>
      <c r="BF97" s="7">
        <f t="shared" si="32"/>
        <v>0</v>
      </c>
      <c r="BG97" s="7">
        <f t="shared" si="32"/>
        <v>0</v>
      </c>
      <c r="BH97" s="7">
        <f t="shared" si="32"/>
        <v>25</v>
      </c>
      <c r="BI97" s="420">
        <f t="shared" si="33"/>
        <v>25</v>
      </c>
    </row>
    <row r="98" spans="1:61">
      <c r="A98" s="1" t="s">
        <v>659</v>
      </c>
      <c r="B98" s="4">
        <v>15054341</v>
      </c>
      <c r="C98" s="1" t="s">
        <v>669</v>
      </c>
      <c r="D98" s="1" t="s">
        <v>502</v>
      </c>
      <c r="E98" s="7">
        <v>1990</v>
      </c>
      <c r="G98" s="1" t="s">
        <v>502</v>
      </c>
      <c r="H98" s="7">
        <v>62</v>
      </c>
      <c r="I98" s="7">
        <v>0</v>
      </c>
      <c r="J98" s="1" t="s">
        <v>776</v>
      </c>
      <c r="K98" s="1" t="s">
        <v>447</v>
      </c>
      <c r="L98" s="1" t="s">
        <v>745</v>
      </c>
      <c r="M98" s="333" t="s">
        <v>744</v>
      </c>
      <c r="N98" s="332">
        <v>40505</v>
      </c>
      <c r="O98" s="181">
        <v>6472.7</v>
      </c>
      <c r="P98" s="184">
        <v>4894.97</v>
      </c>
      <c r="Q98" s="229">
        <v>5329.95</v>
      </c>
      <c r="R98" s="192">
        <v>6390.44</v>
      </c>
      <c r="S98" s="195">
        <v>3335.2</v>
      </c>
      <c r="T98" s="238">
        <v>3294.27</v>
      </c>
      <c r="U98" s="347">
        <v>3646.98</v>
      </c>
      <c r="V98" s="32"/>
      <c r="W98" s="217">
        <v>4139</v>
      </c>
      <c r="X98" s="220">
        <v>2304.65</v>
      </c>
      <c r="Y98" s="304">
        <v>3851.11</v>
      </c>
      <c r="Z98" s="172">
        <v>4179.32</v>
      </c>
      <c r="AA98" s="312">
        <f t="shared" si="27"/>
        <v>18121.059999999998</v>
      </c>
      <c r="AB98" s="384">
        <f t="shared" si="34"/>
        <v>47838.590000000004</v>
      </c>
      <c r="AD98" s="9">
        <f t="shared" si="21"/>
        <v>0</v>
      </c>
      <c r="AE98" s="9">
        <f t="shared" si="31"/>
        <v>0</v>
      </c>
      <c r="AF98" s="9">
        <f t="shared" si="31"/>
        <v>0</v>
      </c>
      <c r="AG98" s="9">
        <f t="shared" si="31"/>
        <v>0</v>
      </c>
      <c r="AH98" s="9">
        <f t="shared" si="31"/>
        <v>0</v>
      </c>
      <c r="AI98" s="9">
        <f t="shared" si="31"/>
        <v>0</v>
      </c>
      <c r="AJ98" s="9">
        <f t="shared" si="31"/>
        <v>0</v>
      </c>
      <c r="AK98" s="9">
        <f t="shared" si="31"/>
        <v>0</v>
      </c>
      <c r="AL98" s="9">
        <f t="shared" si="31"/>
        <v>0</v>
      </c>
      <c r="AM98" s="9">
        <f t="shared" si="31"/>
        <v>0</v>
      </c>
      <c r="AN98" s="9">
        <f t="shared" si="31"/>
        <v>0</v>
      </c>
      <c r="AO98" s="9">
        <f t="shared" si="31"/>
        <v>18121.059999999998</v>
      </c>
      <c r="AP98" s="9">
        <f t="shared" si="31"/>
        <v>0</v>
      </c>
      <c r="AQ98" s="9">
        <f t="shared" si="31"/>
        <v>0</v>
      </c>
      <c r="AR98" s="9">
        <f t="shared" si="31"/>
        <v>0</v>
      </c>
      <c r="AS98" s="9">
        <f t="shared" si="31"/>
        <v>0</v>
      </c>
      <c r="AT98" s="365">
        <f t="shared" si="25"/>
        <v>18121.059999999998</v>
      </c>
      <c r="AU98" s="416"/>
      <c r="AV98" s="7">
        <f t="shared" si="20"/>
        <v>0</v>
      </c>
      <c r="AW98" s="7">
        <f t="shared" si="32"/>
        <v>0</v>
      </c>
      <c r="AX98" s="7">
        <f t="shared" si="32"/>
        <v>0</v>
      </c>
      <c r="AY98" s="7">
        <f t="shared" si="32"/>
        <v>0</v>
      </c>
      <c r="AZ98" s="7">
        <f t="shared" si="32"/>
        <v>0</v>
      </c>
      <c r="BA98" s="7">
        <f t="shared" si="32"/>
        <v>0</v>
      </c>
      <c r="BB98" s="7">
        <f t="shared" si="32"/>
        <v>0</v>
      </c>
      <c r="BC98" s="7">
        <f t="shared" si="32"/>
        <v>0</v>
      </c>
      <c r="BD98" s="7">
        <f t="shared" si="32"/>
        <v>0</v>
      </c>
      <c r="BE98" s="7">
        <f t="shared" si="32"/>
        <v>0</v>
      </c>
      <c r="BF98" s="7">
        <f t="shared" si="32"/>
        <v>62</v>
      </c>
      <c r="BG98" s="7">
        <f t="shared" si="32"/>
        <v>0</v>
      </c>
      <c r="BH98" s="7">
        <f t="shared" si="32"/>
        <v>0</v>
      </c>
      <c r="BI98" s="420">
        <f t="shared" si="33"/>
        <v>62</v>
      </c>
    </row>
    <row r="99" spans="1:61">
      <c r="A99" s="1" t="s">
        <v>659</v>
      </c>
      <c r="B99" s="4">
        <v>15060725</v>
      </c>
      <c r="C99" s="1" t="s">
        <v>846</v>
      </c>
      <c r="D99" s="1" t="s">
        <v>846</v>
      </c>
      <c r="E99" s="7"/>
      <c r="H99" s="7">
        <v>110</v>
      </c>
      <c r="I99" s="7"/>
      <c r="M99" s="333"/>
      <c r="N99" s="332"/>
      <c r="O99" s="181">
        <v>9165.7999999999993</v>
      </c>
      <c r="P99" s="184">
        <v>7992.75</v>
      </c>
      <c r="Q99" s="229">
        <v>9090.81</v>
      </c>
      <c r="R99" s="192">
        <v>9557.7800000000007</v>
      </c>
      <c r="S99" s="195">
        <v>5301.25</v>
      </c>
      <c r="T99" s="238">
        <v>5052.75</v>
      </c>
      <c r="U99" s="347">
        <v>4638.51</v>
      </c>
      <c r="V99" s="212">
        <v>6295.13</v>
      </c>
      <c r="W99" s="217">
        <v>5437.4</v>
      </c>
      <c r="X99" s="220">
        <v>4386.66</v>
      </c>
      <c r="Y99" s="304">
        <v>5899.66</v>
      </c>
      <c r="Z99" s="172">
        <v>5929.19</v>
      </c>
      <c r="AA99" s="312">
        <f t="shared" si="27"/>
        <v>32586.549999999996</v>
      </c>
      <c r="AB99" s="384">
        <f t="shared" si="34"/>
        <v>78747.69</v>
      </c>
      <c r="AD99" s="9">
        <f t="shared" si="21"/>
        <v>0</v>
      </c>
      <c r="AE99" s="9">
        <f t="shared" si="31"/>
        <v>0</v>
      </c>
      <c r="AF99" s="9">
        <f t="shared" si="31"/>
        <v>0</v>
      </c>
      <c r="AG99" s="9">
        <f t="shared" si="31"/>
        <v>0</v>
      </c>
      <c r="AH99" s="9">
        <f t="shared" si="31"/>
        <v>0</v>
      </c>
      <c r="AI99" s="9">
        <f t="shared" si="31"/>
        <v>0</v>
      </c>
      <c r="AJ99" s="9">
        <f t="shared" si="31"/>
        <v>0</v>
      </c>
      <c r="AK99" s="9">
        <f t="shared" si="31"/>
        <v>0</v>
      </c>
      <c r="AL99" s="9">
        <f t="shared" si="31"/>
        <v>0</v>
      </c>
      <c r="AM99" s="9">
        <f t="shared" si="31"/>
        <v>0</v>
      </c>
      <c r="AN99" s="9">
        <f t="shared" si="31"/>
        <v>0</v>
      </c>
      <c r="AO99" s="9">
        <f t="shared" si="31"/>
        <v>32586.549999999996</v>
      </c>
      <c r="AP99" s="9">
        <f t="shared" si="31"/>
        <v>0</v>
      </c>
      <c r="AQ99" s="9">
        <f t="shared" si="31"/>
        <v>0</v>
      </c>
      <c r="AR99" s="9">
        <f t="shared" si="31"/>
        <v>0</v>
      </c>
      <c r="AS99" s="9">
        <f t="shared" si="31"/>
        <v>0</v>
      </c>
      <c r="AT99" s="365">
        <f t="shared" si="25"/>
        <v>32586.549999999996</v>
      </c>
      <c r="AU99" s="416"/>
      <c r="AV99" s="7">
        <f t="shared" si="20"/>
        <v>0</v>
      </c>
      <c r="AW99" s="7">
        <f t="shared" si="32"/>
        <v>0</v>
      </c>
      <c r="AX99" s="7">
        <f t="shared" si="32"/>
        <v>0</v>
      </c>
      <c r="AY99" s="7">
        <f t="shared" si="32"/>
        <v>0</v>
      </c>
      <c r="AZ99" s="7">
        <f t="shared" si="32"/>
        <v>0</v>
      </c>
      <c r="BA99" s="7">
        <f t="shared" si="32"/>
        <v>0</v>
      </c>
      <c r="BB99" s="7">
        <f t="shared" si="32"/>
        <v>0</v>
      </c>
      <c r="BC99" s="7">
        <f t="shared" si="32"/>
        <v>0</v>
      </c>
      <c r="BD99" s="7">
        <f t="shared" si="32"/>
        <v>0</v>
      </c>
      <c r="BE99" s="7">
        <f t="shared" si="32"/>
        <v>0</v>
      </c>
      <c r="BF99" s="7">
        <f t="shared" si="32"/>
        <v>110</v>
      </c>
      <c r="BG99" s="7">
        <f t="shared" si="32"/>
        <v>0</v>
      </c>
      <c r="BH99" s="7">
        <f t="shared" si="32"/>
        <v>0</v>
      </c>
      <c r="BI99" s="420">
        <f t="shared" si="33"/>
        <v>110</v>
      </c>
    </row>
    <row r="100" spans="1:61">
      <c r="A100" s="1" t="s">
        <v>664</v>
      </c>
      <c r="B100" s="4">
        <v>15051606</v>
      </c>
      <c r="C100" s="1" t="s">
        <v>639</v>
      </c>
      <c r="D100" s="1" t="s">
        <v>518</v>
      </c>
      <c r="E100" s="7">
        <v>1951</v>
      </c>
      <c r="F100" s="7">
        <v>125</v>
      </c>
      <c r="G100" s="1" t="s">
        <v>750</v>
      </c>
      <c r="H100" s="7">
        <v>250</v>
      </c>
      <c r="I100" s="7">
        <v>15</v>
      </c>
      <c r="J100" s="1" t="s">
        <v>751</v>
      </c>
      <c r="K100" s="1" t="s">
        <v>450</v>
      </c>
      <c r="L100" s="1" t="s">
        <v>745</v>
      </c>
      <c r="M100" s="333" t="s">
        <v>744</v>
      </c>
      <c r="N100" s="332">
        <v>40504</v>
      </c>
      <c r="O100" s="32"/>
      <c r="P100" s="184">
        <v>40932.559999999998</v>
      </c>
      <c r="Q100" s="229">
        <v>41526.61</v>
      </c>
      <c r="R100" s="192">
        <v>62509.32</v>
      </c>
      <c r="S100" s="195">
        <v>31431.27</v>
      </c>
      <c r="T100" s="238">
        <v>18855.09</v>
      </c>
      <c r="U100" s="347">
        <v>17234.63</v>
      </c>
      <c r="V100" s="212">
        <v>27440.71</v>
      </c>
      <c r="W100" s="217">
        <v>17277.3</v>
      </c>
      <c r="X100" s="220">
        <v>2944.35</v>
      </c>
      <c r="Y100" s="304">
        <v>5413.24</v>
      </c>
      <c r="Z100" s="259">
        <v>11834.69</v>
      </c>
      <c r="AA100" s="312">
        <f t="shared" si="27"/>
        <v>82144.92</v>
      </c>
      <c r="AB100" s="385">
        <f t="shared" si="34"/>
        <v>277399.76999999996</v>
      </c>
      <c r="AD100" s="9">
        <f t="shared" si="21"/>
        <v>0</v>
      </c>
      <c r="AE100" s="9">
        <f t="shared" si="31"/>
        <v>0</v>
      </c>
      <c r="AF100" s="9">
        <f t="shared" si="31"/>
        <v>0</v>
      </c>
      <c r="AG100" s="9">
        <f t="shared" si="31"/>
        <v>0</v>
      </c>
      <c r="AH100" s="9">
        <f t="shared" si="31"/>
        <v>0</v>
      </c>
      <c r="AI100" s="9">
        <f t="shared" si="31"/>
        <v>0</v>
      </c>
      <c r="AJ100" s="9">
        <f t="shared" si="31"/>
        <v>0</v>
      </c>
      <c r="AK100" s="9">
        <f t="shared" si="31"/>
        <v>0</v>
      </c>
      <c r="AL100" s="9">
        <f t="shared" si="31"/>
        <v>0</v>
      </c>
      <c r="AM100" s="9">
        <f t="shared" si="31"/>
        <v>0</v>
      </c>
      <c r="AN100" s="9">
        <f t="shared" si="31"/>
        <v>0</v>
      </c>
      <c r="AO100" s="9">
        <f t="shared" si="31"/>
        <v>0</v>
      </c>
      <c r="AP100" s="9">
        <f t="shared" si="31"/>
        <v>82144.92</v>
      </c>
      <c r="AQ100" s="9">
        <f t="shared" si="31"/>
        <v>0</v>
      </c>
      <c r="AR100" s="9">
        <f t="shared" si="31"/>
        <v>0</v>
      </c>
      <c r="AS100" s="9">
        <f t="shared" ref="AE100:AS116" si="35">+IF($A100=AS$2,SUM($U100:$Z100),0)</f>
        <v>0</v>
      </c>
      <c r="AT100" s="365">
        <f t="shared" si="25"/>
        <v>82144.92</v>
      </c>
      <c r="AU100" s="416"/>
      <c r="AV100" s="7">
        <f t="shared" si="20"/>
        <v>0</v>
      </c>
      <c r="AW100" s="7">
        <f t="shared" si="32"/>
        <v>0</v>
      </c>
      <c r="AX100" s="7">
        <f t="shared" si="32"/>
        <v>0</v>
      </c>
      <c r="AY100" s="7">
        <f t="shared" si="32"/>
        <v>0</v>
      </c>
      <c r="AZ100" s="7">
        <f t="shared" si="32"/>
        <v>0</v>
      </c>
      <c r="BA100" s="7">
        <f t="shared" si="32"/>
        <v>0</v>
      </c>
      <c r="BB100" s="7">
        <f t="shared" si="32"/>
        <v>0</v>
      </c>
      <c r="BC100" s="7">
        <f t="shared" si="32"/>
        <v>0</v>
      </c>
      <c r="BD100" s="7">
        <f t="shared" si="32"/>
        <v>0</v>
      </c>
      <c r="BE100" s="7">
        <f t="shared" si="32"/>
        <v>0</v>
      </c>
      <c r="BF100" s="7">
        <f t="shared" si="32"/>
        <v>0</v>
      </c>
      <c r="BG100" s="7">
        <f t="shared" si="32"/>
        <v>250</v>
      </c>
      <c r="BH100" s="7">
        <f t="shared" si="32"/>
        <v>0</v>
      </c>
      <c r="BI100" s="420">
        <f t="shared" si="33"/>
        <v>250</v>
      </c>
    </row>
    <row r="101" spans="1:61">
      <c r="A101" s="1" t="s">
        <v>970</v>
      </c>
      <c r="B101" s="4">
        <v>15068982</v>
      </c>
      <c r="D101" s="1" t="s">
        <v>924</v>
      </c>
      <c r="E101" s="7"/>
      <c r="H101" s="7"/>
      <c r="I101" s="7"/>
      <c r="M101" s="333"/>
      <c r="N101" s="332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72">
        <v>1207</v>
      </c>
      <c r="AA101" s="312">
        <f t="shared" si="27"/>
        <v>1207</v>
      </c>
      <c r="AB101" s="393">
        <f t="shared" si="34"/>
        <v>1207</v>
      </c>
      <c r="AD101" s="9">
        <f t="shared" si="21"/>
        <v>0</v>
      </c>
      <c r="AE101" s="9">
        <f t="shared" si="35"/>
        <v>0</v>
      </c>
      <c r="AF101" s="9">
        <f t="shared" si="35"/>
        <v>0</v>
      </c>
      <c r="AG101" s="9">
        <f t="shared" si="35"/>
        <v>0</v>
      </c>
      <c r="AH101" s="9">
        <f t="shared" si="35"/>
        <v>0</v>
      </c>
      <c r="AI101" s="9">
        <f t="shared" si="35"/>
        <v>0</v>
      </c>
      <c r="AJ101" s="9">
        <f t="shared" si="35"/>
        <v>0</v>
      </c>
      <c r="AK101" s="9">
        <f t="shared" si="35"/>
        <v>0</v>
      </c>
      <c r="AL101" s="9">
        <f t="shared" si="35"/>
        <v>0</v>
      </c>
      <c r="AM101" s="9">
        <f t="shared" si="35"/>
        <v>0</v>
      </c>
      <c r="AN101" s="9">
        <f t="shared" si="35"/>
        <v>0</v>
      </c>
      <c r="AO101" s="9">
        <f t="shared" si="35"/>
        <v>0</v>
      </c>
      <c r="AP101" s="9">
        <f t="shared" si="35"/>
        <v>0</v>
      </c>
      <c r="AQ101" s="9">
        <f t="shared" si="35"/>
        <v>0</v>
      </c>
      <c r="AR101" s="9">
        <f t="shared" si="35"/>
        <v>1207</v>
      </c>
      <c r="AS101" s="9">
        <f t="shared" si="35"/>
        <v>0</v>
      </c>
      <c r="AT101" s="365">
        <f t="shared" si="25"/>
        <v>1207</v>
      </c>
      <c r="AU101" s="416"/>
      <c r="AV101" s="7">
        <f t="shared" si="20"/>
        <v>0</v>
      </c>
      <c r="AW101" s="7">
        <f t="shared" si="32"/>
        <v>0</v>
      </c>
      <c r="AX101" s="7">
        <f t="shared" si="32"/>
        <v>0</v>
      </c>
      <c r="AY101" s="7">
        <f t="shared" si="32"/>
        <v>0</v>
      </c>
      <c r="AZ101" s="7">
        <f t="shared" si="32"/>
        <v>0</v>
      </c>
      <c r="BA101" s="7">
        <f t="shared" si="32"/>
        <v>0</v>
      </c>
      <c r="BB101" s="7">
        <f t="shared" si="32"/>
        <v>0</v>
      </c>
      <c r="BC101" s="7">
        <f t="shared" si="32"/>
        <v>0</v>
      </c>
      <c r="BD101" s="7">
        <f t="shared" si="32"/>
        <v>0</v>
      </c>
      <c r="BE101" s="7">
        <f t="shared" si="32"/>
        <v>0</v>
      </c>
      <c r="BF101" s="7">
        <f t="shared" si="32"/>
        <v>0</v>
      </c>
      <c r="BG101" s="7">
        <f t="shared" si="32"/>
        <v>0</v>
      </c>
      <c r="BH101" s="7">
        <f t="shared" si="32"/>
        <v>0</v>
      </c>
      <c r="BI101" s="420">
        <f t="shared" si="33"/>
        <v>0</v>
      </c>
    </row>
    <row r="102" spans="1:61">
      <c r="A102" s="1" t="s">
        <v>970</v>
      </c>
      <c r="B102" s="4">
        <v>15063098</v>
      </c>
      <c r="D102" s="1" t="s">
        <v>909</v>
      </c>
      <c r="O102" s="181">
        <v>126.23</v>
      </c>
      <c r="P102" s="136"/>
      <c r="Q102" s="192">
        <v>188.63</v>
      </c>
      <c r="R102" s="347">
        <v>399.1</v>
      </c>
      <c r="S102" s="136"/>
      <c r="T102" s="136"/>
      <c r="U102" s="136"/>
      <c r="V102" s="136"/>
      <c r="W102" s="172">
        <v>57.94</v>
      </c>
      <c r="X102" s="136"/>
      <c r="Y102" s="136"/>
      <c r="Z102" s="172">
        <v>229.25</v>
      </c>
      <c r="AA102" s="312">
        <f t="shared" si="27"/>
        <v>287.19</v>
      </c>
      <c r="AB102" s="393">
        <f t="shared" si="34"/>
        <v>1001.1500000000001</v>
      </c>
      <c r="AD102" s="9">
        <f t="shared" si="21"/>
        <v>0</v>
      </c>
      <c r="AE102" s="9">
        <f t="shared" si="35"/>
        <v>0</v>
      </c>
      <c r="AF102" s="9">
        <f t="shared" si="35"/>
        <v>0</v>
      </c>
      <c r="AG102" s="9">
        <f t="shared" si="35"/>
        <v>0</v>
      </c>
      <c r="AH102" s="9">
        <f t="shared" si="35"/>
        <v>0</v>
      </c>
      <c r="AI102" s="9">
        <f t="shared" si="35"/>
        <v>0</v>
      </c>
      <c r="AJ102" s="9">
        <f t="shared" si="35"/>
        <v>0</v>
      </c>
      <c r="AK102" s="9">
        <f t="shared" si="35"/>
        <v>0</v>
      </c>
      <c r="AL102" s="9">
        <f t="shared" si="35"/>
        <v>0</v>
      </c>
      <c r="AM102" s="9">
        <f t="shared" si="35"/>
        <v>0</v>
      </c>
      <c r="AN102" s="9">
        <f t="shared" si="35"/>
        <v>0</v>
      </c>
      <c r="AO102" s="9">
        <f t="shared" si="35"/>
        <v>0</v>
      </c>
      <c r="AP102" s="9">
        <f t="shared" si="35"/>
        <v>0</v>
      </c>
      <c r="AQ102" s="9">
        <f t="shared" si="35"/>
        <v>0</v>
      </c>
      <c r="AR102" s="9">
        <f t="shared" si="35"/>
        <v>287.19</v>
      </c>
      <c r="AS102" s="9">
        <f t="shared" si="35"/>
        <v>0</v>
      </c>
      <c r="AT102" s="365">
        <f t="shared" si="25"/>
        <v>287.19</v>
      </c>
      <c r="AU102" s="416"/>
      <c r="AV102" s="7">
        <f t="shared" si="20"/>
        <v>0</v>
      </c>
      <c r="AW102" s="7">
        <f t="shared" si="32"/>
        <v>0</v>
      </c>
      <c r="AX102" s="7">
        <f t="shared" si="32"/>
        <v>0</v>
      </c>
      <c r="AY102" s="7">
        <f t="shared" si="32"/>
        <v>0</v>
      </c>
      <c r="AZ102" s="7">
        <f t="shared" si="32"/>
        <v>0</v>
      </c>
      <c r="BA102" s="7">
        <f t="shared" ref="AW102:BH116" si="36">+IF($A102=BA$2,$H102,0)</f>
        <v>0</v>
      </c>
      <c r="BB102" s="7">
        <f t="shared" si="36"/>
        <v>0</v>
      </c>
      <c r="BC102" s="7">
        <f t="shared" si="36"/>
        <v>0</v>
      </c>
      <c r="BD102" s="7">
        <f t="shared" si="36"/>
        <v>0</v>
      </c>
      <c r="BE102" s="7">
        <f t="shared" si="36"/>
        <v>0</v>
      </c>
      <c r="BF102" s="7">
        <f t="shared" si="36"/>
        <v>0</v>
      </c>
      <c r="BG102" s="7">
        <f t="shared" si="36"/>
        <v>0</v>
      </c>
      <c r="BH102" s="7">
        <f t="shared" si="36"/>
        <v>0</v>
      </c>
      <c r="BI102" s="420">
        <f t="shared" si="33"/>
        <v>0</v>
      </c>
    </row>
    <row r="103" spans="1:61">
      <c r="A103" s="1" t="s">
        <v>970</v>
      </c>
      <c r="B103" s="4">
        <v>7009800</v>
      </c>
      <c r="C103" s="1" t="s">
        <v>113</v>
      </c>
      <c r="D103" s="1" t="s">
        <v>102</v>
      </c>
      <c r="K103" s="1" t="s">
        <v>839</v>
      </c>
      <c r="L103" s="1" t="s">
        <v>745</v>
      </c>
      <c r="M103" s="1" t="s">
        <v>744</v>
      </c>
      <c r="N103" s="1">
        <v>40508</v>
      </c>
      <c r="O103" s="181">
        <v>189.12</v>
      </c>
      <c r="P103" s="184">
        <v>302.18</v>
      </c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312">
        <f t="shared" si="27"/>
        <v>0</v>
      </c>
      <c r="AB103" s="393">
        <f t="shared" si="34"/>
        <v>491.3</v>
      </c>
      <c r="AD103" s="9">
        <f t="shared" si="21"/>
        <v>0</v>
      </c>
      <c r="AE103" s="9">
        <f t="shared" si="35"/>
        <v>0</v>
      </c>
      <c r="AF103" s="9">
        <f t="shared" si="35"/>
        <v>0</v>
      </c>
      <c r="AG103" s="9">
        <f t="shared" si="35"/>
        <v>0</v>
      </c>
      <c r="AH103" s="9">
        <f t="shared" si="35"/>
        <v>0</v>
      </c>
      <c r="AI103" s="9">
        <f t="shared" si="35"/>
        <v>0</v>
      </c>
      <c r="AJ103" s="9">
        <f t="shared" si="35"/>
        <v>0</v>
      </c>
      <c r="AK103" s="9">
        <f t="shared" si="35"/>
        <v>0</v>
      </c>
      <c r="AL103" s="9">
        <f t="shared" si="35"/>
        <v>0</v>
      </c>
      <c r="AM103" s="9">
        <f t="shared" si="35"/>
        <v>0</v>
      </c>
      <c r="AN103" s="9">
        <f t="shared" si="35"/>
        <v>0</v>
      </c>
      <c r="AO103" s="9">
        <f t="shared" si="35"/>
        <v>0</v>
      </c>
      <c r="AP103" s="9">
        <f t="shared" si="35"/>
        <v>0</v>
      </c>
      <c r="AQ103" s="9">
        <f t="shared" si="35"/>
        <v>0</v>
      </c>
      <c r="AR103" s="9">
        <f t="shared" si="35"/>
        <v>0</v>
      </c>
      <c r="AS103" s="9">
        <f t="shared" si="35"/>
        <v>0</v>
      </c>
      <c r="AT103" s="365">
        <f t="shared" si="25"/>
        <v>0</v>
      </c>
      <c r="AU103" s="416"/>
      <c r="AV103" s="7">
        <f t="shared" ref="AV103:AV116" si="37">+IF($A103=AV$2,$H103,0)</f>
        <v>0</v>
      </c>
      <c r="AW103" s="7">
        <f t="shared" si="36"/>
        <v>0</v>
      </c>
      <c r="AX103" s="7">
        <f t="shared" si="36"/>
        <v>0</v>
      </c>
      <c r="AY103" s="7">
        <f t="shared" si="36"/>
        <v>0</v>
      </c>
      <c r="AZ103" s="7">
        <f t="shared" si="36"/>
        <v>0</v>
      </c>
      <c r="BA103" s="7">
        <f t="shared" si="36"/>
        <v>0</v>
      </c>
      <c r="BB103" s="7">
        <f t="shared" si="36"/>
        <v>0</v>
      </c>
      <c r="BC103" s="7">
        <f t="shared" si="36"/>
        <v>0</v>
      </c>
      <c r="BD103" s="7">
        <f t="shared" si="36"/>
        <v>0</v>
      </c>
      <c r="BE103" s="7">
        <f t="shared" si="36"/>
        <v>0</v>
      </c>
      <c r="BF103" s="7">
        <f t="shared" si="36"/>
        <v>0</v>
      </c>
      <c r="BG103" s="7">
        <f t="shared" si="36"/>
        <v>0</v>
      </c>
      <c r="BH103" s="7">
        <f t="shared" si="36"/>
        <v>0</v>
      </c>
      <c r="BI103" s="420">
        <f t="shared" si="33"/>
        <v>0</v>
      </c>
    </row>
    <row r="104" spans="1:61">
      <c r="A104" s="1" t="s">
        <v>531</v>
      </c>
      <c r="B104" s="4">
        <v>15059549</v>
      </c>
      <c r="D104" s="1" t="s">
        <v>856</v>
      </c>
      <c r="E104" s="7"/>
      <c r="H104" s="7">
        <v>42</v>
      </c>
      <c r="I104" s="7"/>
      <c r="M104" s="333"/>
      <c r="N104" s="332"/>
      <c r="O104" s="181">
        <v>12247.23</v>
      </c>
      <c r="P104" s="184">
        <v>12287.18</v>
      </c>
      <c r="Q104" s="229">
        <v>15662.96</v>
      </c>
      <c r="R104" s="192">
        <v>21322.71</v>
      </c>
      <c r="S104" s="195">
        <v>12978.26</v>
      </c>
      <c r="T104" s="238">
        <v>8758.76</v>
      </c>
      <c r="U104" s="347">
        <v>7535.31</v>
      </c>
      <c r="V104" s="212">
        <v>10594.89</v>
      </c>
      <c r="W104" s="217">
        <v>4442.2</v>
      </c>
      <c r="X104" s="220">
        <v>1220.8699999999999</v>
      </c>
      <c r="Y104" s="304">
        <v>1648.68</v>
      </c>
      <c r="Z104" s="172">
        <v>3877.51</v>
      </c>
      <c r="AA104" s="312">
        <f t="shared" si="27"/>
        <v>29319.46</v>
      </c>
      <c r="AB104" s="391">
        <f t="shared" si="34"/>
        <v>112576.55999999997</v>
      </c>
      <c r="AD104" s="9">
        <f t="shared" si="21"/>
        <v>0</v>
      </c>
      <c r="AE104" s="9">
        <f t="shared" si="35"/>
        <v>0</v>
      </c>
      <c r="AF104" s="9">
        <f t="shared" si="35"/>
        <v>0</v>
      </c>
      <c r="AG104" s="9">
        <f t="shared" si="35"/>
        <v>29319.46</v>
      </c>
      <c r="AH104" s="9">
        <f t="shared" si="35"/>
        <v>0</v>
      </c>
      <c r="AI104" s="9">
        <f t="shared" si="35"/>
        <v>0</v>
      </c>
      <c r="AJ104" s="9">
        <f t="shared" si="35"/>
        <v>0</v>
      </c>
      <c r="AK104" s="9">
        <f t="shared" si="35"/>
        <v>0</v>
      </c>
      <c r="AL104" s="9">
        <f t="shared" si="35"/>
        <v>0</v>
      </c>
      <c r="AM104" s="9">
        <f t="shared" si="35"/>
        <v>0</v>
      </c>
      <c r="AN104" s="9">
        <f t="shared" si="35"/>
        <v>0</v>
      </c>
      <c r="AO104" s="9">
        <f t="shared" si="35"/>
        <v>0</v>
      </c>
      <c r="AP104" s="9">
        <f t="shared" si="35"/>
        <v>0</v>
      </c>
      <c r="AQ104" s="9">
        <f t="shared" si="35"/>
        <v>0</v>
      </c>
      <c r="AR104" s="9">
        <f t="shared" si="35"/>
        <v>0</v>
      </c>
      <c r="AS104" s="9">
        <f t="shared" si="35"/>
        <v>0</v>
      </c>
      <c r="AT104" s="365">
        <f t="shared" si="25"/>
        <v>29319.46</v>
      </c>
      <c r="AU104" s="416"/>
      <c r="AV104" s="7">
        <f t="shared" si="37"/>
        <v>0</v>
      </c>
      <c r="AW104" s="7">
        <f t="shared" si="36"/>
        <v>0</v>
      </c>
      <c r="AX104" s="7">
        <f t="shared" si="36"/>
        <v>0</v>
      </c>
      <c r="AY104" s="7">
        <f t="shared" si="36"/>
        <v>42</v>
      </c>
      <c r="AZ104" s="7">
        <f t="shared" si="36"/>
        <v>0</v>
      </c>
      <c r="BA104" s="7">
        <f t="shared" si="36"/>
        <v>0</v>
      </c>
      <c r="BB104" s="7">
        <f t="shared" si="36"/>
        <v>0</v>
      </c>
      <c r="BC104" s="7">
        <f t="shared" si="36"/>
        <v>0</v>
      </c>
      <c r="BD104" s="7">
        <f t="shared" si="36"/>
        <v>0</v>
      </c>
      <c r="BE104" s="7">
        <f t="shared" si="36"/>
        <v>0</v>
      </c>
      <c r="BF104" s="7">
        <f t="shared" si="36"/>
        <v>0</v>
      </c>
      <c r="BG104" s="7">
        <f t="shared" si="36"/>
        <v>0</v>
      </c>
      <c r="BH104" s="7">
        <f t="shared" si="36"/>
        <v>0</v>
      </c>
      <c r="BI104" s="420">
        <f t="shared" si="33"/>
        <v>42</v>
      </c>
    </row>
    <row r="105" spans="1:61">
      <c r="A105" s="1" t="s">
        <v>970</v>
      </c>
      <c r="B105" s="4">
        <v>15063149</v>
      </c>
      <c r="D105" s="1" t="s">
        <v>946</v>
      </c>
      <c r="E105" s="7"/>
      <c r="H105" s="7"/>
      <c r="I105" s="7"/>
      <c r="M105" s="333"/>
      <c r="N105" s="332"/>
      <c r="O105" s="136"/>
      <c r="P105" s="212">
        <v>47.76</v>
      </c>
      <c r="Q105" s="136"/>
      <c r="R105" s="212">
        <v>48.8</v>
      </c>
      <c r="S105" s="212">
        <v>225.11</v>
      </c>
      <c r="T105" s="136"/>
      <c r="U105" s="136"/>
      <c r="V105" s="136"/>
      <c r="W105" s="136"/>
      <c r="X105" s="136"/>
      <c r="Y105" s="136"/>
      <c r="Z105" s="136"/>
      <c r="AA105" s="312">
        <f t="shared" si="27"/>
        <v>0</v>
      </c>
      <c r="AB105" s="391"/>
      <c r="AD105" s="9">
        <f t="shared" si="21"/>
        <v>0</v>
      </c>
      <c r="AE105" s="9">
        <f t="shared" si="35"/>
        <v>0</v>
      </c>
      <c r="AF105" s="9">
        <f t="shared" si="35"/>
        <v>0</v>
      </c>
      <c r="AG105" s="9">
        <f t="shared" si="35"/>
        <v>0</v>
      </c>
      <c r="AH105" s="9">
        <f t="shared" si="35"/>
        <v>0</v>
      </c>
      <c r="AI105" s="9">
        <f t="shared" si="35"/>
        <v>0</v>
      </c>
      <c r="AJ105" s="9">
        <f t="shared" si="35"/>
        <v>0</v>
      </c>
      <c r="AK105" s="9">
        <f t="shared" si="35"/>
        <v>0</v>
      </c>
      <c r="AL105" s="9">
        <f t="shared" si="35"/>
        <v>0</v>
      </c>
      <c r="AM105" s="9">
        <f t="shared" si="35"/>
        <v>0</v>
      </c>
      <c r="AN105" s="9">
        <f t="shared" si="35"/>
        <v>0</v>
      </c>
      <c r="AO105" s="9">
        <f t="shared" si="35"/>
        <v>0</v>
      </c>
      <c r="AP105" s="9">
        <f t="shared" si="35"/>
        <v>0</v>
      </c>
      <c r="AQ105" s="9">
        <f t="shared" si="35"/>
        <v>0</v>
      </c>
      <c r="AR105" s="9">
        <f t="shared" si="35"/>
        <v>0</v>
      </c>
      <c r="AS105" s="9">
        <f t="shared" si="35"/>
        <v>0</v>
      </c>
      <c r="AT105" s="365">
        <f t="shared" si="25"/>
        <v>0</v>
      </c>
      <c r="AU105" s="416"/>
      <c r="AV105" s="7">
        <f t="shared" si="37"/>
        <v>0</v>
      </c>
      <c r="AW105" s="7">
        <f t="shared" si="36"/>
        <v>0</v>
      </c>
      <c r="AX105" s="7">
        <f t="shared" si="36"/>
        <v>0</v>
      </c>
      <c r="AY105" s="7">
        <f t="shared" si="36"/>
        <v>0</v>
      </c>
      <c r="AZ105" s="7">
        <f t="shared" si="36"/>
        <v>0</v>
      </c>
      <c r="BA105" s="7">
        <f t="shared" si="36"/>
        <v>0</v>
      </c>
      <c r="BB105" s="7">
        <f t="shared" si="36"/>
        <v>0</v>
      </c>
      <c r="BC105" s="7">
        <f t="shared" si="36"/>
        <v>0</v>
      </c>
      <c r="BD105" s="7">
        <f t="shared" si="36"/>
        <v>0</v>
      </c>
      <c r="BE105" s="7">
        <f t="shared" si="36"/>
        <v>0</v>
      </c>
      <c r="BF105" s="7">
        <f t="shared" si="36"/>
        <v>0</v>
      </c>
      <c r="BG105" s="7">
        <f t="shared" si="36"/>
        <v>0</v>
      </c>
      <c r="BH105" s="7">
        <f t="shared" si="36"/>
        <v>0</v>
      </c>
      <c r="BI105" s="420">
        <f t="shared" si="33"/>
        <v>0</v>
      </c>
    </row>
    <row r="106" spans="1:61">
      <c r="A106" s="1" t="s">
        <v>530</v>
      </c>
      <c r="B106" s="4">
        <v>15036275</v>
      </c>
      <c r="C106" s="1" t="s">
        <v>645</v>
      </c>
      <c r="D106" s="1" t="s">
        <v>590</v>
      </c>
      <c r="E106" s="7">
        <v>2015</v>
      </c>
      <c r="G106" s="1" t="s">
        <v>589</v>
      </c>
      <c r="H106" s="7">
        <v>99</v>
      </c>
      <c r="I106" s="7">
        <v>1</v>
      </c>
      <c r="J106" s="1" t="s">
        <v>765</v>
      </c>
      <c r="K106" s="1" t="s">
        <v>828</v>
      </c>
      <c r="L106" s="1" t="s">
        <v>745</v>
      </c>
      <c r="M106" s="333" t="s">
        <v>744</v>
      </c>
      <c r="N106" s="332">
        <v>40509</v>
      </c>
      <c r="O106" s="181">
        <v>21359.22</v>
      </c>
      <c r="P106" s="184">
        <v>18065.8</v>
      </c>
      <c r="Q106" s="229">
        <v>19237.88</v>
      </c>
      <c r="R106" s="192">
        <v>24719.32</v>
      </c>
      <c r="S106" s="195">
        <v>18962.509999999998</v>
      </c>
      <c r="T106" s="32"/>
      <c r="U106" s="347">
        <v>14870.65</v>
      </c>
      <c r="V106" s="212">
        <v>14868.91</v>
      </c>
      <c r="W106" s="217">
        <v>9082.6299999999992</v>
      </c>
      <c r="X106" s="220">
        <v>2196.2399999999998</v>
      </c>
      <c r="Y106" s="304">
        <v>3100.96</v>
      </c>
      <c r="Z106" s="172">
        <v>7900.93</v>
      </c>
      <c r="AA106" s="312">
        <f t="shared" si="27"/>
        <v>52020.319999999992</v>
      </c>
      <c r="AB106" s="396">
        <f t="shared" si="34"/>
        <v>154365.04999999996</v>
      </c>
      <c r="AD106" s="9">
        <f t="shared" si="21"/>
        <v>0</v>
      </c>
      <c r="AE106" s="9">
        <f t="shared" si="35"/>
        <v>0</v>
      </c>
      <c r="AF106" s="9">
        <f t="shared" si="35"/>
        <v>0</v>
      </c>
      <c r="AG106" s="9">
        <f t="shared" si="35"/>
        <v>0</v>
      </c>
      <c r="AH106" s="9">
        <f t="shared" si="35"/>
        <v>0</v>
      </c>
      <c r="AI106" s="9">
        <f t="shared" si="35"/>
        <v>52020.319999999992</v>
      </c>
      <c r="AJ106" s="9">
        <f t="shared" si="35"/>
        <v>0</v>
      </c>
      <c r="AK106" s="9">
        <f t="shared" si="35"/>
        <v>0</v>
      </c>
      <c r="AL106" s="9">
        <f t="shared" si="35"/>
        <v>0</v>
      </c>
      <c r="AM106" s="9">
        <f t="shared" si="35"/>
        <v>0</v>
      </c>
      <c r="AN106" s="9">
        <f t="shared" si="35"/>
        <v>0</v>
      </c>
      <c r="AO106" s="9">
        <f t="shared" si="35"/>
        <v>0</v>
      </c>
      <c r="AP106" s="9">
        <f t="shared" si="35"/>
        <v>0</v>
      </c>
      <c r="AQ106" s="9">
        <f t="shared" si="35"/>
        <v>0</v>
      </c>
      <c r="AR106" s="9">
        <f t="shared" si="35"/>
        <v>0</v>
      </c>
      <c r="AS106" s="9">
        <f t="shared" si="35"/>
        <v>0</v>
      </c>
      <c r="AT106" s="365">
        <f t="shared" si="25"/>
        <v>52020.319999999992</v>
      </c>
      <c r="AU106" s="416"/>
      <c r="AV106" s="7">
        <f t="shared" si="37"/>
        <v>0</v>
      </c>
      <c r="AW106" s="7">
        <f t="shared" si="36"/>
        <v>0</v>
      </c>
      <c r="AX106" s="7">
        <f t="shared" si="36"/>
        <v>0</v>
      </c>
      <c r="AY106" s="7">
        <f t="shared" si="36"/>
        <v>0</v>
      </c>
      <c r="AZ106" s="7">
        <f t="shared" si="36"/>
        <v>99</v>
      </c>
      <c r="BA106" s="7">
        <f t="shared" si="36"/>
        <v>0</v>
      </c>
      <c r="BB106" s="7">
        <f t="shared" si="36"/>
        <v>0</v>
      </c>
      <c r="BC106" s="7">
        <f t="shared" si="36"/>
        <v>0</v>
      </c>
      <c r="BD106" s="7">
        <f t="shared" si="36"/>
        <v>0</v>
      </c>
      <c r="BE106" s="7">
        <f t="shared" si="36"/>
        <v>0</v>
      </c>
      <c r="BF106" s="7">
        <f t="shared" si="36"/>
        <v>0</v>
      </c>
      <c r="BG106" s="7">
        <f t="shared" si="36"/>
        <v>0</v>
      </c>
      <c r="BH106" s="7">
        <f t="shared" si="36"/>
        <v>0</v>
      </c>
      <c r="BI106" s="420">
        <f t="shared" si="33"/>
        <v>99</v>
      </c>
    </row>
    <row r="107" spans="1:61">
      <c r="A107" s="1" t="s">
        <v>537</v>
      </c>
      <c r="B107" s="4">
        <v>15055052</v>
      </c>
      <c r="C107" s="1" t="s">
        <v>590</v>
      </c>
      <c r="D107" s="1" t="s">
        <v>590</v>
      </c>
      <c r="E107" s="7"/>
      <c r="H107" s="7">
        <v>95</v>
      </c>
      <c r="I107" s="7"/>
      <c r="M107" s="333"/>
      <c r="N107" s="332"/>
      <c r="O107" s="181">
        <v>23802.28</v>
      </c>
      <c r="P107" s="184">
        <v>20407.21</v>
      </c>
      <c r="Q107" s="229">
        <v>20702.75</v>
      </c>
      <c r="R107" s="192">
        <v>26706.25</v>
      </c>
      <c r="S107" s="195">
        <v>18614.23</v>
      </c>
      <c r="T107" s="238">
        <v>13666.85</v>
      </c>
      <c r="U107" s="347">
        <v>13320.83</v>
      </c>
      <c r="V107" s="212">
        <v>14092.63</v>
      </c>
      <c r="W107" s="217">
        <v>9124.3700000000008</v>
      </c>
      <c r="X107" s="220">
        <v>2324.46</v>
      </c>
      <c r="Y107" s="304">
        <v>3646.92</v>
      </c>
      <c r="Z107" s="172">
        <v>6296.83</v>
      </c>
      <c r="AA107" s="312">
        <f t="shared" si="27"/>
        <v>48806.04</v>
      </c>
      <c r="AB107" s="47">
        <f t="shared" si="34"/>
        <v>172705.61</v>
      </c>
      <c r="AD107" s="9">
        <f t="shared" si="21"/>
        <v>0</v>
      </c>
      <c r="AE107" s="9">
        <f t="shared" si="35"/>
        <v>48806.04</v>
      </c>
      <c r="AF107" s="9">
        <f t="shared" si="35"/>
        <v>0</v>
      </c>
      <c r="AG107" s="9">
        <f t="shared" si="35"/>
        <v>0</v>
      </c>
      <c r="AH107" s="9">
        <f t="shared" si="35"/>
        <v>0</v>
      </c>
      <c r="AI107" s="9">
        <f t="shared" si="35"/>
        <v>0</v>
      </c>
      <c r="AJ107" s="9">
        <f t="shared" si="35"/>
        <v>0</v>
      </c>
      <c r="AK107" s="9">
        <f t="shared" si="35"/>
        <v>0</v>
      </c>
      <c r="AL107" s="9">
        <f t="shared" si="35"/>
        <v>0</v>
      </c>
      <c r="AM107" s="9">
        <f t="shared" si="35"/>
        <v>0</v>
      </c>
      <c r="AN107" s="9">
        <f t="shared" si="35"/>
        <v>0</v>
      </c>
      <c r="AO107" s="9">
        <f t="shared" si="35"/>
        <v>0</v>
      </c>
      <c r="AP107" s="9">
        <f t="shared" si="35"/>
        <v>0</v>
      </c>
      <c r="AQ107" s="9">
        <f t="shared" si="35"/>
        <v>0</v>
      </c>
      <c r="AR107" s="9">
        <f t="shared" si="35"/>
        <v>0</v>
      </c>
      <c r="AS107" s="9">
        <f t="shared" si="35"/>
        <v>0</v>
      </c>
      <c r="AT107" s="365">
        <f t="shared" si="25"/>
        <v>48806.04</v>
      </c>
      <c r="AU107" s="416"/>
      <c r="AV107" s="7">
        <f t="shared" si="37"/>
        <v>0</v>
      </c>
      <c r="AW107" s="7">
        <f t="shared" si="36"/>
        <v>95</v>
      </c>
      <c r="AX107" s="7">
        <f t="shared" si="36"/>
        <v>0</v>
      </c>
      <c r="AY107" s="7">
        <f t="shared" si="36"/>
        <v>0</v>
      </c>
      <c r="AZ107" s="7">
        <f t="shared" si="36"/>
        <v>0</v>
      </c>
      <c r="BA107" s="7">
        <f t="shared" si="36"/>
        <v>0</v>
      </c>
      <c r="BB107" s="7">
        <f t="shared" si="36"/>
        <v>0</v>
      </c>
      <c r="BC107" s="7">
        <f t="shared" si="36"/>
        <v>0</v>
      </c>
      <c r="BD107" s="7">
        <f t="shared" si="36"/>
        <v>0</v>
      </c>
      <c r="BE107" s="7">
        <f t="shared" si="36"/>
        <v>0</v>
      </c>
      <c r="BF107" s="7">
        <f t="shared" si="36"/>
        <v>0</v>
      </c>
      <c r="BG107" s="7">
        <f t="shared" si="36"/>
        <v>0</v>
      </c>
      <c r="BH107" s="7">
        <f t="shared" si="36"/>
        <v>0</v>
      </c>
      <c r="BI107" s="420">
        <f t="shared" si="33"/>
        <v>95</v>
      </c>
    </row>
    <row r="108" spans="1:61">
      <c r="A108" s="1" t="s">
        <v>970</v>
      </c>
      <c r="B108" s="4">
        <v>15056636</v>
      </c>
      <c r="C108" s="1" t="s">
        <v>712</v>
      </c>
      <c r="D108" s="1" t="s">
        <v>712</v>
      </c>
      <c r="O108" s="136"/>
      <c r="P108" s="184">
        <v>27.24</v>
      </c>
      <c r="Q108" s="229">
        <v>231.54</v>
      </c>
      <c r="R108" s="192">
        <v>323.33</v>
      </c>
      <c r="S108" s="136"/>
      <c r="T108" s="136"/>
      <c r="U108" s="136"/>
      <c r="V108" s="136"/>
      <c r="W108" s="136"/>
      <c r="X108" s="136"/>
      <c r="Y108" s="136"/>
      <c r="Z108" s="136"/>
      <c r="AA108" s="312">
        <f t="shared" si="27"/>
        <v>0</v>
      </c>
      <c r="AB108" s="393">
        <f t="shared" ref="AB108:AB116" si="38">SUM(O108:Z108)</f>
        <v>582.1099999999999</v>
      </c>
      <c r="AD108" s="9">
        <f t="shared" si="21"/>
        <v>0</v>
      </c>
      <c r="AE108" s="9">
        <f t="shared" si="35"/>
        <v>0</v>
      </c>
      <c r="AF108" s="9">
        <f t="shared" si="35"/>
        <v>0</v>
      </c>
      <c r="AG108" s="9">
        <f t="shared" si="35"/>
        <v>0</v>
      </c>
      <c r="AH108" s="9">
        <f t="shared" si="35"/>
        <v>0</v>
      </c>
      <c r="AI108" s="9">
        <f t="shared" si="35"/>
        <v>0</v>
      </c>
      <c r="AJ108" s="9">
        <f t="shared" si="35"/>
        <v>0</v>
      </c>
      <c r="AK108" s="9">
        <f t="shared" si="35"/>
        <v>0</v>
      </c>
      <c r="AL108" s="9">
        <f t="shared" si="35"/>
        <v>0</v>
      </c>
      <c r="AM108" s="9">
        <f t="shared" si="35"/>
        <v>0</v>
      </c>
      <c r="AN108" s="9">
        <f t="shared" si="35"/>
        <v>0</v>
      </c>
      <c r="AO108" s="9">
        <f t="shared" si="35"/>
        <v>0</v>
      </c>
      <c r="AP108" s="9">
        <f t="shared" si="35"/>
        <v>0</v>
      </c>
      <c r="AQ108" s="9">
        <f t="shared" si="35"/>
        <v>0</v>
      </c>
      <c r="AR108" s="9">
        <f t="shared" si="35"/>
        <v>0</v>
      </c>
      <c r="AS108" s="9">
        <f t="shared" si="35"/>
        <v>0</v>
      </c>
      <c r="AT108" s="365">
        <f t="shared" si="25"/>
        <v>0</v>
      </c>
      <c r="AU108" s="416"/>
      <c r="AV108" s="7">
        <f t="shared" si="37"/>
        <v>0</v>
      </c>
      <c r="AW108" s="7">
        <f t="shared" si="36"/>
        <v>0</v>
      </c>
      <c r="AX108" s="7">
        <f t="shared" si="36"/>
        <v>0</v>
      </c>
      <c r="AY108" s="7">
        <f t="shared" si="36"/>
        <v>0</v>
      </c>
      <c r="AZ108" s="7">
        <f t="shared" si="36"/>
        <v>0</v>
      </c>
      <c r="BA108" s="7">
        <f t="shared" si="36"/>
        <v>0</v>
      </c>
      <c r="BB108" s="7">
        <f t="shared" si="36"/>
        <v>0</v>
      </c>
      <c r="BC108" s="7">
        <f t="shared" si="36"/>
        <v>0</v>
      </c>
      <c r="BD108" s="7">
        <f t="shared" si="36"/>
        <v>0</v>
      </c>
      <c r="BE108" s="7">
        <f t="shared" si="36"/>
        <v>0</v>
      </c>
      <c r="BF108" s="7">
        <f t="shared" si="36"/>
        <v>0</v>
      </c>
      <c r="BG108" s="7">
        <f t="shared" si="36"/>
        <v>0</v>
      </c>
      <c r="BH108" s="7">
        <f t="shared" si="36"/>
        <v>0</v>
      </c>
      <c r="BI108" s="420">
        <f t="shared" si="33"/>
        <v>0</v>
      </c>
    </row>
    <row r="109" spans="1:61">
      <c r="A109" s="1" t="s">
        <v>533</v>
      </c>
      <c r="B109" s="42">
        <v>15055141</v>
      </c>
      <c r="C109" s="11" t="s">
        <v>695</v>
      </c>
      <c r="D109" s="11" t="s">
        <v>695</v>
      </c>
      <c r="E109" s="7">
        <v>2009</v>
      </c>
      <c r="F109" s="340"/>
      <c r="G109" s="1" t="s">
        <v>792</v>
      </c>
      <c r="H109" s="7">
        <v>124</v>
      </c>
      <c r="I109" s="7"/>
      <c r="K109" s="1" t="s">
        <v>433</v>
      </c>
      <c r="L109" s="1" t="s">
        <v>745</v>
      </c>
      <c r="M109" s="333" t="s">
        <v>744</v>
      </c>
      <c r="N109" s="332">
        <v>40502</v>
      </c>
      <c r="O109" s="181">
        <v>11281.86</v>
      </c>
      <c r="P109" s="184">
        <v>11597.23</v>
      </c>
      <c r="Q109" s="229">
        <v>11358.73</v>
      </c>
      <c r="R109" s="192">
        <v>11820.194</v>
      </c>
      <c r="S109" s="195">
        <v>9024.2900000000009</v>
      </c>
      <c r="T109" s="238">
        <v>6625.29</v>
      </c>
      <c r="U109" s="347">
        <v>7031.92</v>
      </c>
      <c r="V109" s="212">
        <v>7772.25</v>
      </c>
      <c r="W109" s="217">
        <v>7244.56</v>
      </c>
      <c r="X109" s="220">
        <v>102.23</v>
      </c>
      <c r="Y109" s="304">
        <v>9142.5</v>
      </c>
      <c r="Z109" s="172">
        <v>10173.94</v>
      </c>
      <c r="AA109" s="312">
        <f t="shared" si="27"/>
        <v>41467.4</v>
      </c>
      <c r="AB109" s="397">
        <f t="shared" si="38"/>
        <v>103174.99399999999</v>
      </c>
      <c r="AD109" s="9">
        <f t="shared" si="21"/>
        <v>0</v>
      </c>
      <c r="AE109" s="9">
        <f t="shared" si="35"/>
        <v>0</v>
      </c>
      <c r="AF109" s="9">
        <f t="shared" si="35"/>
        <v>0</v>
      </c>
      <c r="AG109" s="9">
        <f t="shared" si="35"/>
        <v>0</v>
      </c>
      <c r="AH109" s="9">
        <f t="shared" si="35"/>
        <v>0</v>
      </c>
      <c r="AI109" s="9">
        <f t="shared" si="35"/>
        <v>0</v>
      </c>
      <c r="AJ109" s="9">
        <f t="shared" si="35"/>
        <v>0</v>
      </c>
      <c r="AK109" s="9">
        <f t="shared" si="35"/>
        <v>0</v>
      </c>
      <c r="AL109" s="9">
        <f t="shared" si="35"/>
        <v>0</v>
      </c>
      <c r="AM109" s="9">
        <f t="shared" si="35"/>
        <v>41467.4</v>
      </c>
      <c r="AN109" s="9">
        <f t="shared" si="35"/>
        <v>0</v>
      </c>
      <c r="AO109" s="9">
        <f t="shared" si="35"/>
        <v>0</v>
      </c>
      <c r="AP109" s="9">
        <f t="shared" si="35"/>
        <v>0</v>
      </c>
      <c r="AQ109" s="9">
        <f t="shared" si="35"/>
        <v>0</v>
      </c>
      <c r="AR109" s="9">
        <f t="shared" si="35"/>
        <v>0</v>
      </c>
      <c r="AS109" s="9">
        <f t="shared" si="35"/>
        <v>0</v>
      </c>
      <c r="AT109" s="365">
        <f t="shared" si="25"/>
        <v>41467.4</v>
      </c>
      <c r="AU109" s="416"/>
      <c r="AV109" s="7">
        <f t="shared" si="37"/>
        <v>0</v>
      </c>
      <c r="AW109" s="7">
        <f t="shared" si="36"/>
        <v>0</v>
      </c>
      <c r="AX109" s="7">
        <f t="shared" si="36"/>
        <v>0</v>
      </c>
      <c r="AY109" s="7">
        <f t="shared" si="36"/>
        <v>0</v>
      </c>
      <c r="AZ109" s="7">
        <f t="shared" si="36"/>
        <v>0</v>
      </c>
      <c r="BA109" s="7">
        <f t="shared" si="36"/>
        <v>0</v>
      </c>
      <c r="BB109" s="7">
        <f t="shared" si="36"/>
        <v>0</v>
      </c>
      <c r="BC109" s="7">
        <f t="shared" si="36"/>
        <v>0</v>
      </c>
      <c r="BD109" s="7">
        <f t="shared" si="36"/>
        <v>124</v>
      </c>
      <c r="BE109" s="7">
        <f t="shared" si="36"/>
        <v>0</v>
      </c>
      <c r="BF109" s="7">
        <f t="shared" si="36"/>
        <v>0</v>
      </c>
      <c r="BG109" s="7">
        <f t="shared" si="36"/>
        <v>0</v>
      </c>
      <c r="BH109" s="7">
        <f t="shared" si="36"/>
        <v>0</v>
      </c>
      <c r="BI109" s="420">
        <f t="shared" si="33"/>
        <v>124</v>
      </c>
    </row>
    <row r="110" spans="1:61">
      <c r="A110" s="1" t="s">
        <v>659</v>
      </c>
      <c r="B110" s="42">
        <v>15066520</v>
      </c>
      <c r="C110" s="11"/>
      <c r="D110" s="11" t="s">
        <v>911</v>
      </c>
      <c r="E110" s="7"/>
      <c r="F110" s="340"/>
      <c r="H110" s="7">
        <v>98</v>
      </c>
      <c r="I110" s="7"/>
      <c r="M110" s="333"/>
      <c r="N110" s="332"/>
      <c r="O110" s="32"/>
      <c r="P110" s="32"/>
      <c r="Q110" s="32"/>
      <c r="R110" s="32"/>
      <c r="S110" s="195">
        <v>8233.25</v>
      </c>
      <c r="T110" s="238">
        <v>6257.5</v>
      </c>
      <c r="U110" s="347">
        <v>6557.93</v>
      </c>
      <c r="V110" s="212">
        <v>6352.34</v>
      </c>
      <c r="W110" s="32"/>
      <c r="X110" s="220">
        <f>7336.12+0.19</f>
        <v>7336.3099999999995</v>
      </c>
      <c r="Y110" s="304">
        <v>5960.94</v>
      </c>
      <c r="Z110" s="434">
        <v>6853.54</v>
      </c>
      <c r="AA110" s="312">
        <f t="shared" si="27"/>
        <v>33061.06</v>
      </c>
      <c r="AB110" s="47">
        <f t="shared" si="38"/>
        <v>47551.810000000005</v>
      </c>
      <c r="AD110" s="9">
        <f t="shared" si="21"/>
        <v>0</v>
      </c>
      <c r="AE110" s="9">
        <f t="shared" si="35"/>
        <v>0</v>
      </c>
      <c r="AF110" s="9">
        <f t="shared" si="35"/>
        <v>0</v>
      </c>
      <c r="AG110" s="9">
        <f t="shared" si="35"/>
        <v>0</v>
      </c>
      <c r="AH110" s="9">
        <f t="shared" si="35"/>
        <v>0</v>
      </c>
      <c r="AI110" s="9">
        <f t="shared" si="35"/>
        <v>0</v>
      </c>
      <c r="AJ110" s="9">
        <f t="shared" si="35"/>
        <v>0</v>
      </c>
      <c r="AK110" s="9">
        <f t="shared" si="35"/>
        <v>0</v>
      </c>
      <c r="AL110" s="9">
        <f t="shared" si="35"/>
        <v>0</v>
      </c>
      <c r="AM110" s="9">
        <f t="shared" si="35"/>
        <v>0</v>
      </c>
      <c r="AN110" s="9">
        <f t="shared" si="35"/>
        <v>0</v>
      </c>
      <c r="AO110" s="9">
        <f t="shared" si="35"/>
        <v>33061.06</v>
      </c>
      <c r="AP110" s="9">
        <f t="shared" si="35"/>
        <v>0</v>
      </c>
      <c r="AQ110" s="9">
        <f t="shared" si="35"/>
        <v>0</v>
      </c>
      <c r="AR110" s="9">
        <f t="shared" si="35"/>
        <v>0</v>
      </c>
      <c r="AS110" s="9">
        <f t="shared" si="35"/>
        <v>0</v>
      </c>
      <c r="AT110" s="365">
        <f t="shared" si="25"/>
        <v>33061.06</v>
      </c>
      <c r="AU110" s="416"/>
      <c r="AV110" s="7">
        <f t="shared" si="37"/>
        <v>0</v>
      </c>
      <c r="AW110" s="7">
        <f t="shared" si="36"/>
        <v>0</v>
      </c>
      <c r="AX110" s="7">
        <f t="shared" si="36"/>
        <v>0</v>
      </c>
      <c r="AY110" s="7">
        <f t="shared" si="36"/>
        <v>0</v>
      </c>
      <c r="AZ110" s="7">
        <f t="shared" si="36"/>
        <v>0</v>
      </c>
      <c r="BA110" s="7">
        <f t="shared" si="36"/>
        <v>0</v>
      </c>
      <c r="BB110" s="7">
        <f t="shared" si="36"/>
        <v>0</v>
      </c>
      <c r="BC110" s="7">
        <f t="shared" si="36"/>
        <v>0</v>
      </c>
      <c r="BD110" s="7">
        <f t="shared" si="36"/>
        <v>0</v>
      </c>
      <c r="BE110" s="7">
        <f t="shared" si="36"/>
        <v>0</v>
      </c>
      <c r="BF110" s="7">
        <f t="shared" si="36"/>
        <v>98</v>
      </c>
      <c r="BG110" s="7">
        <f t="shared" si="36"/>
        <v>0</v>
      </c>
      <c r="BH110" s="7">
        <f t="shared" si="36"/>
        <v>0</v>
      </c>
      <c r="BI110" s="420">
        <f t="shared" si="33"/>
        <v>98</v>
      </c>
    </row>
    <row r="111" spans="1:61">
      <c r="A111" s="1" t="s">
        <v>704</v>
      </c>
      <c r="B111" s="42">
        <v>15066057</v>
      </c>
      <c r="C111" s="11"/>
      <c r="D111" s="11" t="s">
        <v>912</v>
      </c>
      <c r="E111" s="7"/>
      <c r="F111" s="340"/>
      <c r="H111" s="7"/>
      <c r="I111" s="7"/>
      <c r="M111" s="333"/>
      <c r="N111" s="332"/>
      <c r="O111" s="32"/>
      <c r="P111" s="32"/>
      <c r="Q111" s="32"/>
      <c r="R111" s="32"/>
      <c r="S111" s="195">
        <v>9597.7999999999993</v>
      </c>
      <c r="T111" s="238">
        <v>9375.59</v>
      </c>
      <c r="U111" s="212">
        <v>7628.73</v>
      </c>
      <c r="V111" s="217">
        <v>8509.6200000000008</v>
      </c>
      <c r="W111" s="304">
        <v>7791.06</v>
      </c>
      <c r="X111" s="172">
        <f>5075.83</f>
        <v>5075.83</v>
      </c>
      <c r="Y111" s="238">
        <v>9088.41</v>
      </c>
      <c r="Z111" s="433">
        <v>9273.89</v>
      </c>
      <c r="AA111" s="312">
        <f t="shared" si="27"/>
        <v>47367.539999999994</v>
      </c>
      <c r="AB111" s="393">
        <f t="shared" si="38"/>
        <v>66340.929999999993</v>
      </c>
      <c r="AD111" s="9">
        <f t="shared" si="21"/>
        <v>0</v>
      </c>
      <c r="AE111" s="9">
        <f t="shared" si="35"/>
        <v>0</v>
      </c>
      <c r="AF111" s="9">
        <f t="shared" si="35"/>
        <v>0</v>
      </c>
      <c r="AG111" s="9">
        <f t="shared" si="35"/>
        <v>0</v>
      </c>
      <c r="AH111" s="9">
        <f t="shared" si="35"/>
        <v>0</v>
      </c>
      <c r="AI111" s="9">
        <f t="shared" si="35"/>
        <v>0</v>
      </c>
      <c r="AJ111" s="9">
        <f t="shared" si="35"/>
        <v>0</v>
      </c>
      <c r="AK111" s="9">
        <f t="shared" si="35"/>
        <v>0</v>
      </c>
      <c r="AL111" s="9">
        <f t="shared" si="35"/>
        <v>0</v>
      </c>
      <c r="AM111" s="9">
        <f t="shared" si="35"/>
        <v>0</v>
      </c>
      <c r="AN111" s="9">
        <f t="shared" si="35"/>
        <v>0</v>
      </c>
      <c r="AO111" s="9">
        <f t="shared" si="35"/>
        <v>0</v>
      </c>
      <c r="AP111" s="9">
        <f t="shared" si="35"/>
        <v>0</v>
      </c>
      <c r="AQ111" s="9">
        <f t="shared" si="35"/>
        <v>0</v>
      </c>
      <c r="AR111" s="9">
        <f t="shared" si="35"/>
        <v>0</v>
      </c>
      <c r="AS111" s="9">
        <f t="shared" si="35"/>
        <v>47367.539999999994</v>
      </c>
      <c r="AT111" s="365">
        <f t="shared" si="25"/>
        <v>47367.539999999994</v>
      </c>
      <c r="AU111" s="416"/>
      <c r="AV111" s="7">
        <f t="shared" si="37"/>
        <v>0</v>
      </c>
      <c r="AW111" s="7">
        <f t="shared" si="36"/>
        <v>0</v>
      </c>
      <c r="AX111" s="7">
        <f t="shared" si="36"/>
        <v>0</v>
      </c>
      <c r="AY111" s="7">
        <f t="shared" si="36"/>
        <v>0</v>
      </c>
      <c r="AZ111" s="7">
        <f t="shared" si="36"/>
        <v>0</v>
      </c>
      <c r="BA111" s="7">
        <f t="shared" si="36"/>
        <v>0</v>
      </c>
      <c r="BB111" s="7">
        <f t="shared" si="36"/>
        <v>0</v>
      </c>
      <c r="BC111" s="7">
        <f t="shared" si="36"/>
        <v>0</v>
      </c>
      <c r="BD111" s="7">
        <f t="shared" si="36"/>
        <v>0</v>
      </c>
      <c r="BE111" s="7">
        <f t="shared" si="36"/>
        <v>0</v>
      </c>
      <c r="BF111" s="7">
        <f t="shared" si="36"/>
        <v>0</v>
      </c>
      <c r="BG111" s="7">
        <f t="shared" si="36"/>
        <v>0</v>
      </c>
      <c r="BH111" s="7">
        <f t="shared" si="36"/>
        <v>0</v>
      </c>
      <c r="BI111" s="420">
        <f t="shared" ref="BI111:BI116" si="39">+SUM(AV111:BH111)</f>
        <v>0</v>
      </c>
    </row>
    <row r="112" spans="1:61">
      <c r="A112" s="1" t="s">
        <v>970</v>
      </c>
      <c r="B112" s="42">
        <v>12369500</v>
      </c>
      <c r="C112" s="11"/>
      <c r="D112" s="11" t="s">
        <v>913</v>
      </c>
      <c r="E112" s="7"/>
      <c r="F112" s="340"/>
      <c r="H112" s="7"/>
      <c r="I112" s="7"/>
      <c r="M112" s="333"/>
      <c r="N112" s="332"/>
      <c r="O112" s="195">
        <v>106.64</v>
      </c>
      <c r="P112" s="195">
        <v>88.89</v>
      </c>
      <c r="Q112" s="195">
        <v>166.69</v>
      </c>
      <c r="R112" s="195">
        <v>222.7</v>
      </c>
      <c r="S112" s="136"/>
      <c r="T112" s="136"/>
      <c r="U112" s="136"/>
      <c r="V112" s="136"/>
      <c r="W112" s="136"/>
      <c r="X112" s="136"/>
      <c r="Y112" s="136"/>
      <c r="Z112" s="136"/>
      <c r="AA112" s="312">
        <f t="shared" si="27"/>
        <v>0</v>
      </c>
      <c r="AB112" s="393">
        <f t="shared" si="38"/>
        <v>584.92000000000007</v>
      </c>
      <c r="AD112" s="9">
        <f t="shared" si="21"/>
        <v>0</v>
      </c>
      <c r="AE112" s="9">
        <f t="shared" si="35"/>
        <v>0</v>
      </c>
      <c r="AF112" s="9">
        <f t="shared" si="35"/>
        <v>0</v>
      </c>
      <c r="AG112" s="9">
        <f t="shared" si="35"/>
        <v>0</v>
      </c>
      <c r="AH112" s="9">
        <f t="shared" si="35"/>
        <v>0</v>
      </c>
      <c r="AI112" s="9">
        <f t="shared" si="35"/>
        <v>0</v>
      </c>
      <c r="AJ112" s="9">
        <f t="shared" si="35"/>
        <v>0</v>
      </c>
      <c r="AK112" s="9">
        <f t="shared" si="35"/>
        <v>0</v>
      </c>
      <c r="AL112" s="9">
        <f t="shared" si="35"/>
        <v>0</v>
      </c>
      <c r="AM112" s="9">
        <f t="shared" si="35"/>
        <v>0</v>
      </c>
      <c r="AN112" s="9">
        <f t="shared" si="35"/>
        <v>0</v>
      </c>
      <c r="AO112" s="9">
        <f t="shared" si="35"/>
        <v>0</v>
      </c>
      <c r="AP112" s="9">
        <f t="shared" si="35"/>
        <v>0</v>
      </c>
      <c r="AQ112" s="9">
        <f t="shared" si="35"/>
        <v>0</v>
      </c>
      <c r="AR112" s="9">
        <f t="shared" si="35"/>
        <v>0</v>
      </c>
      <c r="AS112" s="9">
        <f t="shared" si="35"/>
        <v>0</v>
      </c>
      <c r="AT112" s="365">
        <f t="shared" si="25"/>
        <v>0</v>
      </c>
      <c r="AU112" s="416"/>
      <c r="AV112" s="7">
        <f t="shared" si="37"/>
        <v>0</v>
      </c>
      <c r="AW112" s="7">
        <f t="shared" si="36"/>
        <v>0</v>
      </c>
      <c r="AX112" s="7">
        <f t="shared" si="36"/>
        <v>0</v>
      </c>
      <c r="AY112" s="7">
        <f t="shared" si="36"/>
        <v>0</v>
      </c>
      <c r="AZ112" s="7">
        <f t="shared" si="36"/>
        <v>0</v>
      </c>
      <c r="BA112" s="7">
        <f t="shared" si="36"/>
        <v>0</v>
      </c>
      <c r="BB112" s="7">
        <f t="shared" si="36"/>
        <v>0</v>
      </c>
      <c r="BC112" s="7">
        <f t="shared" si="36"/>
        <v>0</v>
      </c>
      <c r="BD112" s="7">
        <f t="shared" si="36"/>
        <v>0</v>
      </c>
      <c r="BE112" s="7">
        <f t="shared" si="36"/>
        <v>0</v>
      </c>
      <c r="BF112" s="7">
        <f t="shared" si="36"/>
        <v>0</v>
      </c>
      <c r="BG112" s="7">
        <f t="shared" si="36"/>
        <v>0</v>
      </c>
      <c r="BH112" s="7">
        <f t="shared" si="36"/>
        <v>0</v>
      </c>
      <c r="BI112" s="420">
        <f t="shared" si="39"/>
        <v>0</v>
      </c>
    </row>
    <row r="113" spans="1:61">
      <c r="A113" s="1" t="s">
        <v>970</v>
      </c>
      <c r="B113" s="42">
        <v>15066087</v>
      </c>
      <c r="C113" s="11"/>
      <c r="D113" s="11" t="s">
        <v>915</v>
      </c>
      <c r="E113" s="7"/>
      <c r="F113" s="340"/>
      <c r="H113" s="7"/>
      <c r="I113" s="7"/>
      <c r="M113" s="333"/>
      <c r="N113" s="332"/>
      <c r="O113" s="136"/>
      <c r="P113" s="136"/>
      <c r="Q113" s="136"/>
      <c r="R113" s="136"/>
      <c r="S113" s="136"/>
      <c r="T113" s="238">
        <v>178.69</v>
      </c>
      <c r="U113" s="136"/>
      <c r="V113" s="136"/>
      <c r="W113" s="136"/>
      <c r="X113" s="136"/>
      <c r="Y113" s="136"/>
      <c r="Z113" s="136"/>
      <c r="AA113" s="312">
        <f t="shared" si="27"/>
        <v>0</v>
      </c>
      <c r="AB113" s="393">
        <f t="shared" si="38"/>
        <v>178.69</v>
      </c>
      <c r="AD113" s="9">
        <f t="shared" si="21"/>
        <v>0</v>
      </c>
      <c r="AE113" s="9">
        <f t="shared" si="35"/>
        <v>0</v>
      </c>
      <c r="AF113" s="9">
        <f t="shared" si="35"/>
        <v>0</v>
      </c>
      <c r="AG113" s="9">
        <f t="shared" si="35"/>
        <v>0</v>
      </c>
      <c r="AH113" s="9">
        <f t="shared" si="35"/>
        <v>0</v>
      </c>
      <c r="AI113" s="9">
        <f t="shared" si="35"/>
        <v>0</v>
      </c>
      <c r="AJ113" s="9">
        <f t="shared" si="35"/>
        <v>0</v>
      </c>
      <c r="AK113" s="9">
        <f t="shared" si="35"/>
        <v>0</v>
      </c>
      <c r="AL113" s="9">
        <f t="shared" si="35"/>
        <v>0</v>
      </c>
      <c r="AM113" s="9">
        <f t="shared" si="35"/>
        <v>0</v>
      </c>
      <c r="AN113" s="9">
        <f t="shared" si="35"/>
        <v>0</v>
      </c>
      <c r="AO113" s="9">
        <f t="shared" si="35"/>
        <v>0</v>
      </c>
      <c r="AP113" s="9">
        <f t="shared" si="35"/>
        <v>0</v>
      </c>
      <c r="AQ113" s="9">
        <f t="shared" si="35"/>
        <v>0</v>
      </c>
      <c r="AR113" s="9">
        <f t="shared" si="35"/>
        <v>0</v>
      </c>
      <c r="AS113" s="9">
        <f t="shared" si="35"/>
        <v>0</v>
      </c>
      <c r="AT113" s="365">
        <f t="shared" si="25"/>
        <v>0</v>
      </c>
      <c r="AU113" s="416"/>
      <c r="AV113" s="7">
        <f t="shared" si="37"/>
        <v>0</v>
      </c>
      <c r="AW113" s="7">
        <f t="shared" si="36"/>
        <v>0</v>
      </c>
      <c r="AX113" s="7">
        <f t="shared" si="36"/>
        <v>0</v>
      </c>
      <c r="AY113" s="7">
        <f t="shared" si="36"/>
        <v>0</v>
      </c>
      <c r="AZ113" s="7">
        <f t="shared" si="36"/>
        <v>0</v>
      </c>
      <c r="BA113" s="7">
        <f t="shared" si="36"/>
        <v>0</v>
      </c>
      <c r="BB113" s="7">
        <f t="shared" si="36"/>
        <v>0</v>
      </c>
      <c r="BC113" s="7">
        <f t="shared" si="36"/>
        <v>0</v>
      </c>
      <c r="BD113" s="7">
        <f t="shared" si="36"/>
        <v>0</v>
      </c>
      <c r="BE113" s="7">
        <f t="shared" si="36"/>
        <v>0</v>
      </c>
      <c r="BF113" s="7">
        <f t="shared" si="36"/>
        <v>0</v>
      </c>
      <c r="BG113" s="7">
        <f t="shared" si="36"/>
        <v>0</v>
      </c>
      <c r="BH113" s="7">
        <f t="shared" si="36"/>
        <v>0</v>
      </c>
      <c r="BI113" s="420">
        <f t="shared" si="39"/>
        <v>0</v>
      </c>
    </row>
    <row r="114" spans="1:61">
      <c r="A114" s="1" t="s">
        <v>970</v>
      </c>
      <c r="B114" s="42">
        <v>15035167</v>
      </c>
      <c r="C114" s="11"/>
      <c r="D114" s="11" t="s">
        <v>919</v>
      </c>
      <c r="E114" s="7"/>
      <c r="F114" s="340"/>
      <c r="H114" s="7"/>
      <c r="I114" s="7"/>
      <c r="M114" s="333"/>
      <c r="N114" s="332"/>
      <c r="O114" s="136"/>
      <c r="P114" s="136"/>
      <c r="Q114" s="136"/>
      <c r="R114" s="136"/>
      <c r="S114" s="136"/>
      <c r="T114" s="136"/>
      <c r="U114" s="136"/>
      <c r="V114" s="136"/>
      <c r="W114" s="217">
        <v>44.63</v>
      </c>
      <c r="X114" s="136"/>
      <c r="Y114" s="136"/>
      <c r="Z114" s="136"/>
      <c r="AA114" s="312">
        <f t="shared" si="27"/>
        <v>44.63</v>
      </c>
      <c r="AB114" s="393">
        <f t="shared" si="38"/>
        <v>44.63</v>
      </c>
      <c r="AD114" s="9">
        <f>+IF($A114=AD$2,SUM($U114:$Z114),0)</f>
        <v>0</v>
      </c>
      <c r="AE114" s="9">
        <f t="shared" si="35"/>
        <v>0</v>
      </c>
      <c r="AF114" s="9">
        <f t="shared" si="35"/>
        <v>0</v>
      </c>
      <c r="AG114" s="9">
        <f t="shared" si="35"/>
        <v>0</v>
      </c>
      <c r="AH114" s="9">
        <f t="shared" si="35"/>
        <v>0</v>
      </c>
      <c r="AI114" s="9">
        <f t="shared" si="35"/>
        <v>0</v>
      </c>
      <c r="AJ114" s="9">
        <f t="shared" si="35"/>
        <v>0</v>
      </c>
      <c r="AK114" s="9">
        <f t="shared" si="35"/>
        <v>0</v>
      </c>
      <c r="AL114" s="9">
        <f t="shared" si="35"/>
        <v>0</v>
      </c>
      <c r="AM114" s="9">
        <f t="shared" si="35"/>
        <v>0</v>
      </c>
      <c r="AN114" s="9">
        <f t="shared" si="35"/>
        <v>0</v>
      </c>
      <c r="AO114" s="9">
        <f t="shared" si="35"/>
        <v>0</v>
      </c>
      <c r="AP114" s="9">
        <f t="shared" si="35"/>
        <v>0</v>
      </c>
      <c r="AQ114" s="9">
        <f t="shared" si="35"/>
        <v>0</v>
      </c>
      <c r="AR114" s="9">
        <f t="shared" si="35"/>
        <v>44.63</v>
      </c>
      <c r="AS114" s="9">
        <f t="shared" si="35"/>
        <v>0</v>
      </c>
      <c r="AT114" s="365">
        <f t="shared" si="25"/>
        <v>44.63</v>
      </c>
      <c r="AU114" s="416"/>
      <c r="AV114" s="7">
        <f t="shared" si="37"/>
        <v>0</v>
      </c>
      <c r="AW114" s="7">
        <f t="shared" si="36"/>
        <v>0</v>
      </c>
      <c r="AX114" s="7">
        <f t="shared" si="36"/>
        <v>0</v>
      </c>
      <c r="AY114" s="7">
        <f t="shared" si="36"/>
        <v>0</v>
      </c>
      <c r="AZ114" s="7">
        <f t="shared" si="36"/>
        <v>0</v>
      </c>
      <c r="BA114" s="7">
        <f t="shared" si="36"/>
        <v>0</v>
      </c>
      <c r="BB114" s="7">
        <f t="shared" si="36"/>
        <v>0</v>
      </c>
      <c r="BC114" s="7">
        <f t="shared" si="36"/>
        <v>0</v>
      </c>
      <c r="BD114" s="7">
        <f t="shared" si="36"/>
        <v>0</v>
      </c>
      <c r="BE114" s="7">
        <f t="shared" si="36"/>
        <v>0</v>
      </c>
      <c r="BF114" s="7">
        <f t="shared" si="36"/>
        <v>0</v>
      </c>
      <c r="BG114" s="7">
        <f t="shared" si="36"/>
        <v>0</v>
      </c>
      <c r="BH114" s="7">
        <f t="shared" si="36"/>
        <v>0</v>
      </c>
      <c r="BI114" s="420">
        <f t="shared" si="39"/>
        <v>0</v>
      </c>
    </row>
    <row r="115" spans="1:61">
      <c r="A115" s="1" t="s">
        <v>970</v>
      </c>
      <c r="B115" s="42">
        <v>15067792</v>
      </c>
      <c r="C115" s="11"/>
      <c r="D115" s="11" t="s">
        <v>920</v>
      </c>
      <c r="E115" s="7"/>
      <c r="F115" s="340"/>
      <c r="H115" s="7"/>
      <c r="I115" s="7"/>
      <c r="M115" s="333"/>
      <c r="N115" s="332"/>
      <c r="O115" s="136"/>
      <c r="P115" s="136"/>
      <c r="Q115" s="136"/>
      <c r="R115" s="136"/>
      <c r="S115" s="136"/>
      <c r="T115" s="136"/>
      <c r="U115" s="136"/>
      <c r="V115" s="136"/>
      <c r="W115" s="217">
        <v>51</v>
      </c>
      <c r="X115" s="136"/>
      <c r="Y115" s="136"/>
      <c r="Z115" s="136"/>
      <c r="AA115" s="312">
        <f t="shared" si="27"/>
        <v>51</v>
      </c>
      <c r="AB115" s="393">
        <f t="shared" si="38"/>
        <v>51</v>
      </c>
      <c r="AD115" s="9">
        <f>+IF($A115=AD$2,SUM($U115:$Z115),0)</f>
        <v>0</v>
      </c>
      <c r="AE115" s="9">
        <f t="shared" si="35"/>
        <v>0</v>
      </c>
      <c r="AF115" s="9">
        <f t="shared" si="35"/>
        <v>0</v>
      </c>
      <c r="AG115" s="9">
        <f t="shared" si="35"/>
        <v>0</v>
      </c>
      <c r="AH115" s="9">
        <f t="shared" si="35"/>
        <v>0</v>
      </c>
      <c r="AI115" s="9">
        <f t="shared" si="35"/>
        <v>0</v>
      </c>
      <c r="AJ115" s="9">
        <f t="shared" si="35"/>
        <v>0</v>
      </c>
      <c r="AK115" s="9">
        <f t="shared" si="35"/>
        <v>0</v>
      </c>
      <c r="AL115" s="9">
        <f t="shared" si="35"/>
        <v>0</v>
      </c>
      <c r="AM115" s="9">
        <f t="shared" si="35"/>
        <v>0</v>
      </c>
      <c r="AN115" s="9">
        <f t="shared" si="35"/>
        <v>0</v>
      </c>
      <c r="AO115" s="9">
        <f t="shared" si="35"/>
        <v>0</v>
      </c>
      <c r="AP115" s="9">
        <f t="shared" si="35"/>
        <v>0</v>
      </c>
      <c r="AQ115" s="9">
        <f t="shared" si="35"/>
        <v>0</v>
      </c>
      <c r="AR115" s="9">
        <f t="shared" si="35"/>
        <v>51</v>
      </c>
      <c r="AS115" s="9">
        <f t="shared" si="35"/>
        <v>0</v>
      </c>
      <c r="AT115" s="365">
        <f t="shared" si="25"/>
        <v>51</v>
      </c>
      <c r="AU115" s="416"/>
      <c r="AV115" s="7">
        <f t="shared" si="37"/>
        <v>0</v>
      </c>
      <c r="AW115" s="7">
        <f t="shared" si="36"/>
        <v>0</v>
      </c>
      <c r="AX115" s="7">
        <f t="shared" si="36"/>
        <v>0</v>
      </c>
      <c r="AY115" s="7">
        <f t="shared" si="36"/>
        <v>0</v>
      </c>
      <c r="AZ115" s="7">
        <f t="shared" si="36"/>
        <v>0</v>
      </c>
      <c r="BA115" s="7">
        <f t="shared" si="36"/>
        <v>0</v>
      </c>
      <c r="BB115" s="7">
        <f t="shared" si="36"/>
        <v>0</v>
      </c>
      <c r="BC115" s="7">
        <f t="shared" si="36"/>
        <v>0</v>
      </c>
      <c r="BD115" s="7">
        <f t="shared" si="36"/>
        <v>0</v>
      </c>
      <c r="BE115" s="7">
        <f t="shared" si="36"/>
        <v>0</v>
      </c>
      <c r="BF115" s="7">
        <f t="shared" si="36"/>
        <v>0</v>
      </c>
      <c r="BG115" s="7">
        <f t="shared" si="36"/>
        <v>0</v>
      </c>
      <c r="BH115" s="7">
        <f t="shared" si="36"/>
        <v>0</v>
      </c>
      <c r="BI115" s="420">
        <f t="shared" si="39"/>
        <v>0</v>
      </c>
    </row>
    <row r="116" spans="1:61">
      <c r="A116" s="22" t="s">
        <v>662</v>
      </c>
      <c r="B116" s="51">
        <v>15067771</v>
      </c>
      <c r="C116" s="52"/>
      <c r="D116" s="52" t="s">
        <v>921</v>
      </c>
      <c r="E116" s="379"/>
      <c r="F116" s="380"/>
      <c r="G116" s="22"/>
      <c r="H116" s="379">
        <v>108</v>
      </c>
      <c r="I116" s="379"/>
      <c r="J116" s="22"/>
      <c r="K116" s="22"/>
      <c r="L116" s="22"/>
      <c r="M116" s="335"/>
      <c r="N116" s="334"/>
      <c r="O116" s="34"/>
      <c r="P116" s="34"/>
      <c r="Q116" s="34"/>
      <c r="R116" s="34"/>
      <c r="S116" s="34"/>
      <c r="T116" s="34"/>
      <c r="U116" s="34"/>
      <c r="V116" s="34"/>
      <c r="W116" s="249">
        <v>6665.33</v>
      </c>
      <c r="X116" s="253">
        <v>4386.34</v>
      </c>
      <c r="Y116" s="319">
        <v>7321.27</v>
      </c>
      <c r="Z116" s="435">
        <v>7294.14</v>
      </c>
      <c r="AA116" s="69">
        <f>SUM(U116:Z116)</f>
        <v>25667.08</v>
      </c>
      <c r="AB116" s="34">
        <f t="shared" si="38"/>
        <v>25667.08</v>
      </c>
      <c r="AD116" s="9">
        <f>+IF($A116=AD$2,SUM($U116:$Z116),0)</f>
        <v>0</v>
      </c>
      <c r="AE116" s="9">
        <f t="shared" si="35"/>
        <v>0</v>
      </c>
      <c r="AF116" s="9">
        <f t="shared" si="35"/>
        <v>25667.08</v>
      </c>
      <c r="AG116" s="9">
        <f t="shared" si="35"/>
        <v>0</v>
      </c>
      <c r="AH116" s="9">
        <f t="shared" si="35"/>
        <v>0</v>
      </c>
      <c r="AI116" s="9">
        <f t="shared" si="35"/>
        <v>0</v>
      </c>
      <c r="AJ116" s="9">
        <f t="shared" si="35"/>
        <v>0</v>
      </c>
      <c r="AK116" s="9">
        <f t="shared" si="35"/>
        <v>0</v>
      </c>
      <c r="AL116" s="9">
        <f t="shared" si="35"/>
        <v>0</v>
      </c>
      <c r="AM116" s="9">
        <f t="shared" si="35"/>
        <v>0</v>
      </c>
      <c r="AN116" s="9">
        <f t="shared" si="35"/>
        <v>0</v>
      </c>
      <c r="AO116" s="9">
        <f t="shared" si="35"/>
        <v>0</v>
      </c>
      <c r="AP116" s="9">
        <f t="shared" si="35"/>
        <v>0</v>
      </c>
      <c r="AQ116" s="9">
        <f t="shared" si="35"/>
        <v>0</v>
      </c>
      <c r="AR116" s="9">
        <f t="shared" si="35"/>
        <v>0</v>
      </c>
      <c r="AS116" s="9">
        <f t="shared" si="35"/>
        <v>0</v>
      </c>
      <c r="AT116" s="415">
        <f>+SUM(AD116:AS116)</f>
        <v>25667.08</v>
      </c>
      <c r="AU116" s="416"/>
      <c r="AV116" s="379">
        <f t="shared" si="37"/>
        <v>0</v>
      </c>
      <c r="AW116" s="379">
        <f t="shared" si="36"/>
        <v>0</v>
      </c>
      <c r="AX116" s="379">
        <f t="shared" si="36"/>
        <v>108</v>
      </c>
      <c r="AY116" s="379">
        <f t="shared" si="36"/>
        <v>0</v>
      </c>
      <c r="AZ116" s="379">
        <f t="shared" si="36"/>
        <v>0</v>
      </c>
      <c r="BA116" s="379">
        <f t="shared" si="36"/>
        <v>0</v>
      </c>
      <c r="BB116" s="379">
        <f t="shared" si="36"/>
        <v>0</v>
      </c>
      <c r="BC116" s="379">
        <f t="shared" si="36"/>
        <v>0</v>
      </c>
      <c r="BD116" s="379">
        <f t="shared" si="36"/>
        <v>0</v>
      </c>
      <c r="BE116" s="379">
        <f t="shared" si="36"/>
        <v>0</v>
      </c>
      <c r="BF116" s="379">
        <f t="shared" si="36"/>
        <v>0</v>
      </c>
      <c r="BG116" s="379">
        <f t="shared" si="36"/>
        <v>0</v>
      </c>
      <c r="BH116" s="379">
        <f t="shared" si="36"/>
        <v>0</v>
      </c>
      <c r="BI116" s="421">
        <f t="shared" si="39"/>
        <v>108</v>
      </c>
    </row>
    <row r="117" spans="1:61">
      <c r="B117" s="42"/>
      <c r="C117" s="11"/>
      <c r="D117" s="11"/>
      <c r="E117" s="7"/>
      <c r="F117" s="340"/>
      <c r="H117" s="7"/>
      <c r="I117" s="7"/>
      <c r="M117" s="333"/>
      <c r="N117" s="3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47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61">
      <c r="C118" s="1" t="s">
        <v>140</v>
      </c>
      <c r="D118" s="1" t="s">
        <v>140</v>
      </c>
      <c r="H118" s="1">
        <f>+SUM(H3:H117)</f>
        <v>8230</v>
      </c>
      <c r="O118" s="32">
        <f t="shared" ref="O118:T118" si="40">SUM(O3:O116)</f>
        <v>1476813.8499999999</v>
      </c>
      <c r="P118" s="32">
        <f t="shared" si="40"/>
        <v>1504740.4900000002</v>
      </c>
      <c r="Q118" s="32">
        <f t="shared" si="40"/>
        <v>1521626.1700000002</v>
      </c>
      <c r="R118" s="32">
        <f t="shared" si="40"/>
        <v>1961974.6240000003</v>
      </c>
      <c r="S118" s="32">
        <f t="shared" si="40"/>
        <v>1235911.1900000002</v>
      </c>
      <c r="T118" s="32">
        <f t="shared" si="40"/>
        <v>863540.47000000009</v>
      </c>
      <c r="U118" s="32">
        <f>+SUM(U3:U116)</f>
        <v>907935.99999999988</v>
      </c>
      <c r="V118" s="32">
        <f>SUM(V3:V116)</f>
        <v>1115025.0199999998</v>
      </c>
      <c r="W118" s="32">
        <f>SUM(W3:W116)</f>
        <v>617123.34000000008</v>
      </c>
      <c r="X118" s="32">
        <f>SUM(X8:X116)</f>
        <v>201243.00999999995</v>
      </c>
      <c r="Y118" s="32">
        <f>SUM(Y3:Y116)</f>
        <v>312790.78000000003</v>
      </c>
      <c r="Z118" s="32">
        <f>SUM(Z3:Z116)</f>
        <v>512098.0400000001</v>
      </c>
      <c r="AA118" s="68">
        <f>SUM(AA3:AA116)</f>
        <v>3666216.1900000004</v>
      </c>
      <c r="AB118" s="47">
        <f>SUM(AB3:AB116)</f>
        <v>12227363.334000001</v>
      </c>
      <c r="AD118" s="68">
        <f t="shared" ref="AD118:AT118" si="41">SUM(AD3:AD116)</f>
        <v>0</v>
      </c>
      <c r="AE118" s="68">
        <f t="shared" si="41"/>
        <v>274233.39</v>
      </c>
      <c r="AF118" s="68">
        <f t="shared" si="41"/>
        <v>92074.87000000001</v>
      </c>
      <c r="AG118" s="68">
        <f t="shared" si="41"/>
        <v>609502.32999999984</v>
      </c>
      <c r="AH118" s="68">
        <f t="shared" si="41"/>
        <v>0</v>
      </c>
      <c r="AI118" s="68">
        <f t="shared" si="41"/>
        <v>408788.39</v>
      </c>
      <c r="AJ118" s="68">
        <f t="shared" si="41"/>
        <v>0</v>
      </c>
      <c r="AK118" s="68">
        <f t="shared" si="41"/>
        <v>665033.63000000012</v>
      </c>
      <c r="AL118" s="68">
        <f t="shared" si="41"/>
        <v>370955.83</v>
      </c>
      <c r="AM118" s="68">
        <f t="shared" si="41"/>
        <v>191224.18</v>
      </c>
      <c r="AN118" s="68">
        <f t="shared" si="41"/>
        <v>0</v>
      </c>
      <c r="AO118" s="68">
        <f t="shared" si="41"/>
        <v>363793.70999999996</v>
      </c>
      <c r="AP118" s="68">
        <f t="shared" si="41"/>
        <v>229546.37</v>
      </c>
      <c r="AQ118" s="68">
        <f>SUM(AQ3:AQ116)</f>
        <v>167655.29</v>
      </c>
      <c r="AR118" s="68">
        <f>SUM(AR3:AR116)</f>
        <v>8057.21</v>
      </c>
      <c r="AS118" s="68">
        <f t="shared" si="41"/>
        <v>285350.99</v>
      </c>
      <c r="AT118" s="68">
        <f t="shared" si="41"/>
        <v>3666216.1900000004</v>
      </c>
      <c r="AV118" s="422">
        <f t="shared" ref="AV118:BI118" si="42">SUM(AV3:AV116)</f>
        <v>0</v>
      </c>
      <c r="AW118" s="422">
        <f t="shared" si="42"/>
        <v>501</v>
      </c>
      <c r="AX118" s="422">
        <f t="shared" si="42"/>
        <v>475</v>
      </c>
      <c r="AY118" s="422">
        <f t="shared" si="42"/>
        <v>1199</v>
      </c>
      <c r="AZ118" s="422">
        <f t="shared" si="42"/>
        <v>826</v>
      </c>
      <c r="BA118" s="422">
        <f t="shared" si="42"/>
        <v>0</v>
      </c>
      <c r="BB118" s="422">
        <f t="shared" si="42"/>
        <v>1664</v>
      </c>
      <c r="BC118" s="422">
        <f t="shared" si="42"/>
        <v>693</v>
      </c>
      <c r="BD118" s="422">
        <f t="shared" si="42"/>
        <v>730</v>
      </c>
      <c r="BE118" s="422">
        <f t="shared" si="42"/>
        <v>0</v>
      </c>
      <c r="BF118" s="422">
        <f t="shared" si="42"/>
        <v>1025</v>
      </c>
      <c r="BG118" s="422">
        <f t="shared" si="42"/>
        <v>516</v>
      </c>
      <c r="BH118" s="422">
        <f t="shared" si="42"/>
        <v>589</v>
      </c>
      <c r="BI118" s="422">
        <f t="shared" si="42"/>
        <v>8218</v>
      </c>
    </row>
    <row r="119" spans="1:61">
      <c r="C119" s="1" t="s">
        <v>348</v>
      </c>
      <c r="D119" s="1" t="s">
        <v>348</v>
      </c>
      <c r="O119" s="68"/>
      <c r="P119" s="68"/>
      <c r="Q119" s="68"/>
      <c r="R119" s="68"/>
      <c r="S119" s="68"/>
      <c r="T119" s="68"/>
      <c r="U119" s="312">
        <f>-U9-U20-U21-U24-U37-U82-U111-U91</f>
        <v>-77780.790000000008</v>
      </c>
      <c r="V119" s="68">
        <f>-V4-V9-V10-V18-V20-V21-V23-V42-V55-V58-V80-V111-V91-V46</f>
        <v>-120452.74</v>
      </c>
      <c r="W119" s="68">
        <f>-W4-W5-W6-W7-W9-W10-W13-W15-W17-W18-W19-W20-W21-W23-W25-W26-W29-W30-W31-W35-W36-W38-W39-W46-W54-W58-W64-W67-W68-W69-W70-W73-W75-W77-W80-W81-W85-W90-W91-W92-W96-W101-W102-W103-W105-W108-W110-W111-W112-W113</f>
        <v>-141174.16999999998</v>
      </c>
      <c r="X119" s="68">
        <f>-X3-X4-X5-X6-X7-X9-X10-X13-X14-X15-X17-X18-X19-X20-X23-X25-X26-X29-X30-X35-X36-X48-X62-X63-X64-X67-X68-X73-X74-X75-X80-X81-X86-X90-X96-X101-X102-X103-X105-X108-X111-X112-X113-X114-X115</f>
        <v>-19857.11</v>
      </c>
      <c r="Y119" s="68">
        <f>-Y3-Y4-Y5-Y6-Y7-Y9-Y10-Y13-Y14-Y15-Y17-Y18-Y20-Y25-Y29-Y30-Y35-Y36-Y43-Y58-Y62-Y63-Y64-Y67-Y68-Y73-Y75-Y77-Y79-Y80-Y81-Y82-Y84-Y90-Y91-Y93-Y96-Y101-Y102-Y103-Y105-Y108-Y111-Y112-Y113-Y114-Y115</f>
        <v>-33879.08</v>
      </c>
      <c r="Z119" s="68">
        <f>-Z3-Z5-Z7-Z10-Z13-Z14-Z15-Z17-Z18-Z20-Z25-Z29-Z30-Z35-Z36-Z58-Z63-Z64-Z67-Z68-Z73-Z75-Z77-Z80-Z81-Z82-Z85-Z91-Z103-Z105-Z108-Z110-Z111-Z112-Z113-Z114-Z115-Z116</f>
        <v>-55510.939999999995</v>
      </c>
      <c r="AA119" s="68"/>
      <c r="AB119" s="47"/>
      <c r="AC119" s="1" t="s">
        <v>949</v>
      </c>
      <c r="AD119" s="10">
        <f>+AD118*11.76470588</f>
        <v>0</v>
      </c>
      <c r="AE119" s="10">
        <f t="shared" ref="AE119:AT119" si="43">+AE118*11.76470588</f>
        <v>3226275.1758253332</v>
      </c>
      <c r="AF119" s="10">
        <f t="shared" si="43"/>
        <v>1083233.7644892356</v>
      </c>
      <c r="AG119" s="10">
        <f t="shared" si="43"/>
        <v>7170615.6456246981</v>
      </c>
      <c r="AH119" s="10">
        <f t="shared" si="43"/>
        <v>0</v>
      </c>
      <c r="AI119" s="10">
        <f t="shared" si="43"/>
        <v>4809275.1755087329</v>
      </c>
      <c r="AJ119" s="10">
        <f t="shared" si="43"/>
        <v>0</v>
      </c>
      <c r="AK119" s="10">
        <f t="shared" si="43"/>
        <v>7823925.0572587457</v>
      </c>
      <c r="AL119" s="10">
        <f t="shared" si="43"/>
        <v>4364186.2344212802</v>
      </c>
      <c r="AM119" s="10">
        <f t="shared" si="43"/>
        <v>2249696.234844178</v>
      </c>
      <c r="AN119" s="10">
        <f t="shared" si="43"/>
        <v>0</v>
      </c>
      <c r="AO119" s="10">
        <f t="shared" si="43"/>
        <v>4279925.999144014</v>
      </c>
      <c r="AP119" s="10">
        <f t="shared" si="43"/>
        <v>2700545.5288716555</v>
      </c>
      <c r="AQ119" s="10">
        <f>+AQ118*11.76470588</f>
        <v>1972415.1760761051</v>
      </c>
      <c r="AR119" s="10">
        <f>+AR118*11.76470588</f>
        <v>94790.705863394789</v>
      </c>
      <c r="AS119" s="10">
        <f t="shared" si="43"/>
        <v>3357070.469916821</v>
      </c>
      <c r="AT119" s="10">
        <f t="shared" si="43"/>
        <v>43131955.167844199</v>
      </c>
      <c r="AV119" s="137">
        <f>+AV118*365</f>
        <v>0</v>
      </c>
      <c r="AW119" s="137">
        <f t="shared" ref="AW119:BI119" si="44">+AW118*365</f>
        <v>182865</v>
      </c>
      <c r="AX119" s="137">
        <f t="shared" si="44"/>
        <v>173375</v>
      </c>
      <c r="AY119" s="137">
        <f t="shared" si="44"/>
        <v>437635</v>
      </c>
      <c r="AZ119" s="137">
        <f t="shared" si="44"/>
        <v>301490</v>
      </c>
      <c r="BA119" s="137">
        <f t="shared" si="44"/>
        <v>0</v>
      </c>
      <c r="BB119" s="137">
        <f t="shared" si="44"/>
        <v>607360</v>
      </c>
      <c r="BC119" s="137">
        <f t="shared" si="44"/>
        <v>252945</v>
      </c>
      <c r="BD119" s="137">
        <f t="shared" si="44"/>
        <v>266450</v>
      </c>
      <c r="BE119" s="137">
        <f t="shared" si="44"/>
        <v>0</v>
      </c>
      <c r="BF119" s="137">
        <f t="shared" si="44"/>
        <v>374125</v>
      </c>
      <c r="BG119" s="137">
        <f t="shared" si="44"/>
        <v>188340</v>
      </c>
      <c r="BH119" s="137">
        <f t="shared" si="44"/>
        <v>214985</v>
      </c>
      <c r="BI119" s="137">
        <f t="shared" si="44"/>
        <v>2999570</v>
      </c>
    </row>
    <row r="120" spans="1:61">
      <c r="C120" s="1" t="s">
        <v>349</v>
      </c>
      <c r="D120" s="1" t="s">
        <v>349</v>
      </c>
      <c r="O120" s="312"/>
      <c r="P120" s="68"/>
      <c r="Q120" s="68"/>
      <c r="R120" s="68"/>
      <c r="S120" s="68"/>
      <c r="T120" s="68"/>
      <c r="U120" s="69">
        <f>+R4+S4+T4+Q7+R17+S17+S20+T20+T21+T37+T50+R64+T64+T69+T70+T72+R102+R67+R68+T68</f>
        <v>90281.890000000014</v>
      </c>
      <c r="V120" s="69">
        <f>+U82+U37+U24+U21+U111+P105+R105+S105</f>
        <v>56880.15</v>
      </c>
      <c r="W120" s="69">
        <f>+V111+V55+V42+V23+U20</f>
        <v>57970.259999999995</v>
      </c>
      <c r="X120" s="69">
        <f>+V20+V21+W21+W31+W38+W39+W91+W54</f>
        <v>51625.729999999996</v>
      </c>
      <c r="Y120" s="69">
        <f>+W20+W23+X23+V10+W111</f>
        <v>31783.01</v>
      </c>
      <c r="Z120" s="69">
        <f>+V4+O9+P9+Q9+R9+S9+T9+U9+V9+X20+X62+Y62+W64+Y82+Y93+W102+X111</f>
        <v>21087.24</v>
      </c>
      <c r="AA120" s="312"/>
      <c r="AB120" s="47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</row>
    <row r="121" spans="1:61">
      <c r="C121" s="1" t="s">
        <v>301</v>
      </c>
      <c r="D121" s="1" t="s">
        <v>301</v>
      </c>
      <c r="O121" s="312"/>
      <c r="P121" s="312"/>
      <c r="Q121" s="312"/>
      <c r="R121" s="312"/>
      <c r="S121" s="312"/>
      <c r="T121" s="312"/>
      <c r="U121" s="32">
        <f t="shared" ref="U121:Z121" si="45">+SUM(U118:U120)</f>
        <v>920437.09999999986</v>
      </c>
      <c r="V121" s="32">
        <f t="shared" si="45"/>
        <v>1051452.4299999997</v>
      </c>
      <c r="W121" s="32">
        <f t="shared" si="45"/>
        <v>533919.43000000005</v>
      </c>
      <c r="X121" s="32">
        <f t="shared" si="45"/>
        <v>233011.62999999995</v>
      </c>
      <c r="Y121" s="32">
        <f t="shared" si="45"/>
        <v>310694.71000000002</v>
      </c>
      <c r="Z121" s="32">
        <f t="shared" si="45"/>
        <v>477674.34000000008</v>
      </c>
      <c r="AA121" s="312"/>
      <c r="AB121" s="47"/>
    </row>
    <row r="122" spans="1:61">
      <c r="C122" s="67" t="s">
        <v>304</v>
      </c>
      <c r="D122" s="67" t="s">
        <v>304</v>
      </c>
      <c r="E122" s="67"/>
      <c r="G122" s="67"/>
      <c r="H122" s="67"/>
      <c r="I122" s="67"/>
      <c r="J122" s="67"/>
      <c r="K122" s="67"/>
      <c r="L122" s="67"/>
      <c r="M122" s="67"/>
      <c r="N122" s="67"/>
      <c r="O122" s="312"/>
      <c r="P122" s="312"/>
      <c r="Q122" s="312"/>
      <c r="R122" s="312"/>
      <c r="S122" s="312"/>
      <c r="T122" s="312"/>
      <c r="U122" s="312">
        <f t="shared" ref="U122:Z122" si="46">+U121/8.5*4</f>
        <v>433146.87058823521</v>
      </c>
      <c r="V122" s="312">
        <f t="shared" si="46"/>
        <v>494801.14352941164</v>
      </c>
      <c r="W122" s="312">
        <f t="shared" si="46"/>
        <v>251256.20235294121</v>
      </c>
      <c r="X122" s="312">
        <f t="shared" si="46"/>
        <v>109652.53176470585</v>
      </c>
      <c r="Y122" s="312">
        <f t="shared" si="46"/>
        <v>146209.27529411766</v>
      </c>
      <c r="Z122" s="312">
        <f t="shared" si="46"/>
        <v>224787.92470588238</v>
      </c>
      <c r="AA122" s="68"/>
      <c r="AB122" s="47"/>
    </row>
    <row r="123" spans="1:61">
      <c r="C123" s="67" t="s">
        <v>305</v>
      </c>
      <c r="D123" s="67" t="s">
        <v>305</v>
      </c>
      <c r="E123" s="67"/>
      <c r="G123" s="67"/>
      <c r="H123" s="67"/>
      <c r="I123" s="67"/>
      <c r="J123" s="67"/>
      <c r="K123" s="67"/>
      <c r="L123" s="67"/>
      <c r="M123" s="67"/>
      <c r="N123" s="67"/>
      <c r="O123" s="312"/>
      <c r="P123" s="312"/>
      <c r="Q123" s="312"/>
      <c r="R123" s="312"/>
      <c r="S123" s="312"/>
      <c r="T123" s="312"/>
      <c r="U123" s="312">
        <f t="shared" ref="U123:Z123" si="47">+U121/8.5*2</f>
        <v>216573.4352941176</v>
      </c>
      <c r="V123" s="312">
        <f t="shared" si="47"/>
        <v>247400.57176470582</v>
      </c>
      <c r="W123" s="312">
        <f t="shared" si="47"/>
        <v>125628.10117647061</v>
      </c>
      <c r="X123" s="312">
        <f t="shared" si="47"/>
        <v>54826.265882352927</v>
      </c>
      <c r="Y123" s="312">
        <f t="shared" si="47"/>
        <v>73104.637647058829</v>
      </c>
      <c r="Z123" s="312">
        <f t="shared" si="47"/>
        <v>112393.96235294119</v>
      </c>
      <c r="AA123" s="68"/>
      <c r="AB123" s="47"/>
    </row>
    <row r="124" spans="1:61">
      <c r="C124" s="1" t="s">
        <v>302</v>
      </c>
      <c r="D124" s="1" t="s">
        <v>302</v>
      </c>
      <c r="O124" s="312"/>
      <c r="P124" s="312"/>
      <c r="Q124" s="312"/>
      <c r="R124" s="312"/>
      <c r="S124" s="68"/>
      <c r="T124" s="68"/>
      <c r="U124" s="68">
        <f t="shared" ref="U124:Z124" si="48">+U122*0.005</f>
        <v>2165.734352941176</v>
      </c>
      <c r="V124" s="68">
        <f t="shared" si="48"/>
        <v>2474.0057176470582</v>
      </c>
      <c r="W124" s="68">
        <f t="shared" si="48"/>
        <v>1256.2810117647061</v>
      </c>
      <c r="X124" s="68">
        <f t="shared" si="48"/>
        <v>548.26265882352925</v>
      </c>
      <c r="Y124" s="68">
        <f t="shared" si="48"/>
        <v>731.04637647058826</v>
      </c>
      <c r="Z124" s="68">
        <f t="shared" si="48"/>
        <v>1123.9396235294118</v>
      </c>
      <c r="AA124" s="68"/>
      <c r="AB124" s="47"/>
    </row>
    <row r="125" spans="1:61">
      <c r="C125" s="1" t="s">
        <v>702</v>
      </c>
      <c r="D125" s="1" t="s">
        <v>702</v>
      </c>
      <c r="O125" s="312"/>
      <c r="P125" s="312"/>
      <c r="Q125" s="312"/>
      <c r="R125" s="312"/>
      <c r="S125" s="68"/>
      <c r="T125" s="68"/>
      <c r="U125" s="68">
        <f t="shared" ref="U125:Z125" si="49">+U121/8.5*2</f>
        <v>216573.4352941176</v>
      </c>
      <c r="V125" s="68">
        <f t="shared" si="49"/>
        <v>247400.57176470582</v>
      </c>
      <c r="W125" s="68">
        <f t="shared" si="49"/>
        <v>125628.10117647061</v>
      </c>
      <c r="X125" s="68">
        <f t="shared" si="49"/>
        <v>54826.265882352927</v>
      </c>
      <c r="Y125" s="68">
        <f t="shared" si="49"/>
        <v>73104.637647058829</v>
      </c>
      <c r="Z125" s="68">
        <f t="shared" si="49"/>
        <v>112393.96235294119</v>
      </c>
      <c r="AA125" s="68"/>
      <c r="AB125" s="47"/>
      <c r="AD125" s="68"/>
      <c r="AV125" s="422"/>
    </row>
    <row r="126" spans="1:61">
      <c r="C126" s="1" t="s">
        <v>703</v>
      </c>
      <c r="D126" s="1" t="s">
        <v>703</v>
      </c>
      <c r="O126" s="312"/>
      <c r="P126" s="312"/>
      <c r="Q126" s="312"/>
      <c r="R126" s="312"/>
      <c r="S126" s="312"/>
      <c r="T126" s="312"/>
      <c r="U126" s="69">
        <f t="shared" ref="U126:Z126" si="50">+U121/8.5*0.5</f>
        <v>54143.358823529401</v>
      </c>
      <c r="V126" s="69">
        <f t="shared" si="50"/>
        <v>61850.142941176455</v>
      </c>
      <c r="W126" s="69">
        <f t="shared" si="50"/>
        <v>31407.025294117651</v>
      </c>
      <c r="X126" s="69">
        <f t="shared" si="50"/>
        <v>13706.566470588232</v>
      </c>
      <c r="Y126" s="69">
        <f t="shared" si="50"/>
        <v>18276.159411764707</v>
      </c>
      <c r="Z126" s="69">
        <f t="shared" si="50"/>
        <v>28098.490588235298</v>
      </c>
      <c r="AA126" s="70"/>
      <c r="AB126" s="47"/>
      <c r="AD126" s="68"/>
      <c r="AV126" s="422"/>
    </row>
    <row r="127" spans="1:61">
      <c r="C127" s="1" t="s">
        <v>303</v>
      </c>
      <c r="D127" s="1" t="s">
        <v>303</v>
      </c>
      <c r="O127" s="70"/>
      <c r="P127" s="70"/>
      <c r="Q127" s="70"/>
      <c r="R127" s="70"/>
      <c r="S127" s="70"/>
      <c r="T127" s="70"/>
      <c r="U127" s="32">
        <f t="shared" ref="U127:Z127" si="51">+U122-U124</f>
        <v>430981.13623529405</v>
      </c>
      <c r="V127" s="32">
        <f t="shared" si="51"/>
        <v>492327.13781176461</v>
      </c>
      <c r="W127" s="32">
        <f t="shared" si="51"/>
        <v>249999.92134117649</v>
      </c>
      <c r="X127" s="32">
        <f t="shared" si="51"/>
        <v>109104.26910588233</v>
      </c>
      <c r="Y127" s="32">
        <f t="shared" si="51"/>
        <v>145478.22891764707</v>
      </c>
      <c r="Z127" s="32">
        <f t="shared" si="51"/>
        <v>223663.98508235297</v>
      </c>
      <c r="AB127" s="47"/>
      <c r="AD127" s="68"/>
      <c r="AV127" s="422"/>
    </row>
    <row r="128" spans="1:61">
      <c r="O128" s="10"/>
      <c r="P128" s="70"/>
      <c r="Q128" s="70"/>
      <c r="R128" s="70"/>
      <c r="S128" s="70"/>
      <c r="T128" s="68"/>
      <c r="U128" s="68"/>
      <c r="V128" s="68"/>
      <c r="W128" s="70"/>
      <c r="X128" s="70"/>
      <c r="Y128" s="70"/>
      <c r="Z128" s="8"/>
      <c r="AA128" s="8"/>
      <c r="AB128" s="386"/>
      <c r="AD128" s="76"/>
      <c r="AV128" s="330"/>
    </row>
    <row r="129" spans="1:61">
      <c r="D129" s="1" t="s">
        <v>637</v>
      </c>
      <c r="O129" s="70"/>
      <c r="P129" s="70"/>
      <c r="Q129" s="70"/>
      <c r="R129" s="70"/>
      <c r="S129" s="70"/>
      <c r="T129" s="70"/>
      <c r="U129" s="70">
        <v>430981.14</v>
      </c>
      <c r="V129" s="70">
        <v>492327.14</v>
      </c>
      <c r="W129" s="70">
        <v>249999.92</v>
      </c>
      <c r="X129" s="70">
        <v>109104.27</v>
      </c>
      <c r="Y129" s="70">
        <v>145398.63</v>
      </c>
      <c r="Z129" s="70">
        <v>223663.99</v>
      </c>
      <c r="AA129" s="70"/>
      <c r="AB129" s="386"/>
      <c r="AD129" s="417"/>
    </row>
    <row r="130" spans="1:61">
      <c r="D130" s="1" t="s">
        <v>648</v>
      </c>
      <c r="O130" s="70"/>
      <c r="P130" s="70"/>
      <c r="Q130" s="70"/>
      <c r="R130" s="70"/>
      <c r="S130" s="70"/>
      <c r="T130" s="70"/>
      <c r="U130" s="70">
        <f t="shared" ref="U130:Z130" si="52">+U127-U129</f>
        <v>-3.764705965295434E-3</v>
      </c>
      <c r="V130" s="70">
        <f t="shared" si="52"/>
        <v>-2.1882354049012065E-3</v>
      </c>
      <c r="W130" s="70">
        <f t="shared" si="52"/>
        <v>1.3411764812190086E-3</v>
      </c>
      <c r="X130" s="70">
        <f t="shared" si="52"/>
        <v>-8.9411767839919776E-4</v>
      </c>
      <c r="Y130" s="70">
        <f t="shared" si="52"/>
        <v>79.598917647061171</v>
      </c>
      <c r="Z130" s="70">
        <f t="shared" si="52"/>
        <v>-4.9176470201928169E-3</v>
      </c>
    </row>
    <row r="131" spans="1:61" s="137" customFormat="1">
      <c r="A131" s="1"/>
      <c r="B131" s="1"/>
      <c r="C131" s="70"/>
      <c r="D131" s="70"/>
      <c r="E131" s="70"/>
      <c r="F131" s="7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8"/>
      <c r="S131" s="70"/>
      <c r="T131" s="1"/>
      <c r="U131" s="68"/>
      <c r="V131" s="68"/>
      <c r="Y131" s="68"/>
      <c r="AB131" s="388"/>
      <c r="AC131" s="1"/>
      <c r="AE131" s="1"/>
      <c r="AV131" s="422"/>
      <c r="AW131" s="1"/>
      <c r="AX131" s="422"/>
      <c r="AY131" s="422"/>
      <c r="AZ131" s="422"/>
      <c r="BA131" s="422"/>
      <c r="BB131" s="422"/>
      <c r="BC131" s="422"/>
      <c r="BD131" s="422"/>
      <c r="BE131" s="422"/>
      <c r="BF131" s="422"/>
      <c r="BG131" s="422"/>
      <c r="BH131" s="422"/>
      <c r="BI131" s="422"/>
    </row>
    <row r="132" spans="1:61" s="158" customFormat="1">
      <c r="A132" s="137"/>
      <c r="B132" s="137" t="s">
        <v>390</v>
      </c>
      <c r="C132" s="137"/>
      <c r="D132" s="137"/>
      <c r="E132" s="137"/>
      <c r="F132" s="342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312"/>
      <c r="V132" s="312"/>
      <c r="AB132" s="388"/>
      <c r="AC132" s="1"/>
      <c r="AE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spans="1:61" s="158" customFormat="1">
      <c r="B133" s="158" t="s">
        <v>895</v>
      </c>
      <c r="F133" s="343"/>
      <c r="U133" s="312"/>
      <c r="V133" s="312"/>
      <c r="W133" s="70"/>
      <c r="AB133" s="388"/>
      <c r="AC133" s="1"/>
      <c r="AE133" s="137"/>
      <c r="AV133" s="1"/>
      <c r="AW133" s="422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spans="1:61" s="78" customFormat="1">
      <c r="A134" s="158"/>
      <c r="B134" s="159" t="s">
        <v>391</v>
      </c>
      <c r="C134" s="159"/>
      <c r="D134" s="159"/>
      <c r="E134" s="159"/>
      <c r="F134" s="344"/>
      <c r="G134" s="159"/>
      <c r="H134" s="159"/>
      <c r="I134" s="159"/>
      <c r="J134" s="159"/>
      <c r="K134" s="159"/>
      <c r="L134" s="159"/>
      <c r="M134" s="159"/>
      <c r="N134" s="159"/>
      <c r="O134" s="219"/>
      <c r="P134" s="219"/>
      <c r="Q134" s="219"/>
      <c r="R134" s="219"/>
      <c r="S134" s="219"/>
      <c r="T134" s="219"/>
      <c r="U134" s="312"/>
      <c r="V134" s="312"/>
      <c r="W134" s="377"/>
      <c r="X134" s="377"/>
      <c r="Y134" s="377"/>
      <c r="Z134" s="377"/>
      <c r="AA134" s="377"/>
      <c r="AB134" s="389"/>
      <c r="AC134" s="1"/>
      <c r="AE134" s="158"/>
      <c r="AV134" s="330"/>
      <c r="AW134" s="1"/>
      <c r="AX134" s="330"/>
      <c r="AY134" s="330"/>
      <c r="AZ134" s="330"/>
      <c r="BA134" s="330"/>
      <c r="BB134" s="330"/>
      <c r="BC134" s="330"/>
      <c r="BD134" s="330"/>
      <c r="BE134" s="330"/>
      <c r="BF134" s="330"/>
      <c r="BG134" s="330"/>
      <c r="BH134" s="330"/>
      <c r="BI134" s="330"/>
    </row>
    <row r="135" spans="1:61">
      <c r="A135" s="78"/>
      <c r="B135" s="78" t="s">
        <v>392</v>
      </c>
      <c r="C135" s="78"/>
      <c r="D135" s="78"/>
      <c r="E135" s="78"/>
      <c r="F135" s="345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68"/>
      <c r="V135" s="68"/>
      <c r="AE135" s="158"/>
    </row>
    <row r="136" spans="1:61">
      <c r="Q136" s="328"/>
      <c r="U136" s="68"/>
      <c r="V136" s="68"/>
      <c r="AE136" s="78"/>
      <c r="AW136" s="330"/>
    </row>
    <row r="137" spans="1:61">
      <c r="Q137" s="328"/>
      <c r="U137" s="68"/>
      <c r="V137" s="68"/>
    </row>
    <row r="138" spans="1:61">
      <c r="Q138" s="328"/>
      <c r="U138" s="68"/>
      <c r="V138" s="68"/>
    </row>
    <row r="139" spans="1:61">
      <c r="U139" s="68"/>
      <c r="V139" s="68"/>
    </row>
    <row r="140" spans="1:61">
      <c r="U140" s="68"/>
      <c r="V140" s="68"/>
      <c r="W140" s="70"/>
    </row>
    <row r="141" spans="1:61">
      <c r="U141" s="68"/>
    </row>
    <row r="142" spans="1:61">
      <c r="U142" s="68"/>
    </row>
    <row r="143" spans="1:61">
      <c r="U143" s="68"/>
    </row>
    <row r="144" spans="1:61">
      <c r="U144" s="68"/>
      <c r="V144" s="70"/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X115"/>
  <sheetViews>
    <sheetView workbookViewId="0">
      <pane xSplit="4" ySplit="3" topLeftCell="J92" activePane="bottomRight" state="frozen"/>
      <selection pane="topRight" activeCell="E1" sqref="E1"/>
      <selection pane="bottomLeft" activeCell="A4" sqref="A4"/>
      <selection pane="bottomRight" activeCell="Q99" sqref="Q99"/>
    </sheetView>
  </sheetViews>
  <sheetFormatPr defaultRowHeight="12.5"/>
  <cols>
    <col min="1" max="1" width="16.36328125" bestFit="1" customWidth="1"/>
    <col min="2" max="2" width="10.08984375" customWidth="1"/>
    <col min="3" max="3" width="9.08984375" customWidth="1"/>
    <col min="4" max="4" width="42.08984375" bestFit="1" customWidth="1"/>
    <col min="5" max="13" width="14.6328125" style="412" customWidth="1"/>
    <col min="14" max="14" width="15.6328125" style="412" bestFit="1" customWidth="1"/>
    <col min="15" max="16" width="15.36328125" style="412" bestFit="1" customWidth="1"/>
    <col min="17" max="17" width="13.6328125" bestFit="1" customWidth="1"/>
    <col min="18" max="18" width="12.6328125" style="456" bestFit="1" customWidth="1"/>
    <col min="19" max="19" width="11.08984375" bestFit="1" customWidth="1"/>
    <col min="20" max="20" width="5.54296875" bestFit="1" customWidth="1"/>
    <col min="21" max="23" width="11.08984375" bestFit="1" customWidth="1"/>
    <col min="24" max="24" width="11" bestFit="1" customWidth="1"/>
    <col min="25" max="25" width="11.08984375" bestFit="1" customWidth="1"/>
    <col min="26" max="26" width="7.54296875" bestFit="1" customWidth="1"/>
    <col min="27" max="29" width="11.08984375" bestFit="1" customWidth="1"/>
    <col min="30" max="30" width="9.08984375" bestFit="1" customWidth="1"/>
    <col min="31" max="34" width="11.08984375" bestFit="1" customWidth="1"/>
    <col min="35" max="35" width="12.6328125" bestFit="1" customWidth="1"/>
    <col min="36" max="36" width="1.6328125" customWidth="1"/>
    <col min="37" max="37" width="12.6328125" customWidth="1"/>
    <col min="38" max="38" width="11.08984375" customWidth="1"/>
    <col min="39" max="39" width="12.6328125" customWidth="1"/>
    <col min="40" max="40" width="11.6328125" customWidth="1"/>
    <col min="41" max="41" width="14" style="456" customWidth="1"/>
    <col min="42" max="42" width="11.6328125" style="456" customWidth="1"/>
    <col min="43" max="43" width="8.81640625" customWidth="1"/>
    <col min="44" max="44" width="12.90625" customWidth="1"/>
    <col min="45" max="45" width="14" style="456" customWidth="1"/>
    <col min="46" max="46" width="12.90625" style="456" customWidth="1"/>
    <col min="47" max="47" width="8.81640625" customWidth="1"/>
    <col min="48" max="48" width="15" customWidth="1"/>
    <col min="49" max="49" width="8.81640625" customWidth="1"/>
    <col min="50" max="50" width="11.6328125" customWidth="1"/>
  </cols>
  <sheetData>
    <row r="1" spans="1:50">
      <c r="E1" s="412">
        <f t="shared" ref="E1:P1" si="0">+SUM(E4:E100)</f>
        <v>717366.45</v>
      </c>
      <c r="F1" s="412">
        <f t="shared" si="0"/>
        <v>772283.14</v>
      </c>
      <c r="G1" s="412">
        <f t="shared" si="0"/>
        <v>791738.52999999991</v>
      </c>
      <c r="H1" s="412">
        <f t="shared" si="0"/>
        <v>913208.94999999972</v>
      </c>
      <c r="I1" s="412">
        <f t="shared" si="0"/>
        <v>684951.28</v>
      </c>
      <c r="J1" s="412">
        <f t="shared" si="0"/>
        <v>489202.91000000009</v>
      </c>
      <c r="K1" s="412">
        <f t="shared" si="0"/>
        <v>550931.07999999996</v>
      </c>
      <c r="L1" s="412">
        <f t="shared" si="0"/>
        <v>634222.49</v>
      </c>
      <c r="M1" s="412">
        <f t="shared" si="0"/>
        <v>909239.52000000037</v>
      </c>
      <c r="N1" s="412">
        <f t="shared" si="0"/>
        <v>1209327.75</v>
      </c>
      <c r="O1" s="412">
        <f t="shared" si="0"/>
        <v>1242776.8900000001</v>
      </c>
      <c r="P1" s="412">
        <f t="shared" si="0"/>
        <v>1528324.9</v>
      </c>
    </row>
    <row r="2" spans="1:50">
      <c r="E2" s="412">
        <f>+SUM(E1:J1)</f>
        <v>4368751.26</v>
      </c>
      <c r="R2" s="456">
        <v>6</v>
      </c>
      <c r="T2" s="412">
        <f t="shared" ref="T2:AH2" si="1">+SUM(T4:T100)</f>
        <v>0</v>
      </c>
      <c r="U2" s="412">
        <f t="shared" si="1"/>
        <v>400200.54000000004</v>
      </c>
      <c r="V2" s="412">
        <f t="shared" si="1"/>
        <v>101080.48000000001</v>
      </c>
      <c r="W2" s="412">
        <f t="shared" si="1"/>
        <v>911162.67</v>
      </c>
      <c r="X2" s="412">
        <f t="shared" si="1"/>
        <v>0</v>
      </c>
      <c r="Y2" s="412">
        <f t="shared" si="1"/>
        <v>846465.98</v>
      </c>
      <c r="Z2" s="412">
        <f t="shared" si="1"/>
        <v>0</v>
      </c>
      <c r="AA2" s="412">
        <f t="shared" si="1"/>
        <v>994315.14000000013</v>
      </c>
      <c r="AB2" s="412">
        <f t="shared" si="1"/>
        <v>695902.73</v>
      </c>
      <c r="AC2" s="412">
        <f t="shared" si="1"/>
        <v>351033.18999999994</v>
      </c>
      <c r="AD2" s="412">
        <f t="shared" si="1"/>
        <v>0</v>
      </c>
      <c r="AE2" s="412">
        <f t="shared" si="1"/>
        <v>507946.28</v>
      </c>
      <c r="AF2" s="412">
        <f t="shared" si="1"/>
        <v>371232.82000000007</v>
      </c>
      <c r="AG2" s="412">
        <f t="shared" si="1"/>
        <v>566919.91999999993</v>
      </c>
      <c r="AH2" s="412">
        <f t="shared" si="1"/>
        <v>328073.83</v>
      </c>
      <c r="AI2" s="412">
        <f>+SUM(T2:AH2)</f>
        <v>6074333.580000001</v>
      </c>
      <c r="AK2" s="412">
        <f>+SUM(AK4:AK100)</f>
        <v>6074333.5799999991</v>
      </c>
      <c r="AM2" s="412"/>
    </row>
    <row r="3" spans="1:50" ht="25.5">
      <c r="A3" s="401" t="s">
        <v>523</v>
      </c>
      <c r="B3" s="400" t="s">
        <v>82</v>
      </c>
      <c r="C3" s="401" t="s">
        <v>524</v>
      </c>
      <c r="D3" s="401" t="s">
        <v>0</v>
      </c>
      <c r="E3" s="441" t="s">
        <v>927</v>
      </c>
      <c r="F3" s="442" t="s">
        <v>928</v>
      </c>
      <c r="G3" s="443" t="s">
        <v>929</v>
      </c>
      <c r="H3" s="444" t="s">
        <v>930</v>
      </c>
      <c r="I3" s="445" t="s">
        <v>931</v>
      </c>
      <c r="J3" s="446" t="s">
        <v>932</v>
      </c>
      <c r="K3" s="447" t="s">
        <v>933</v>
      </c>
      <c r="L3" s="448" t="s">
        <v>934</v>
      </c>
      <c r="M3" s="466" t="s">
        <v>935</v>
      </c>
      <c r="N3" s="470" t="s">
        <v>936</v>
      </c>
      <c r="O3" s="410" t="s">
        <v>937</v>
      </c>
      <c r="P3" s="411" t="s">
        <v>938</v>
      </c>
      <c r="Q3" s="455" t="s">
        <v>956</v>
      </c>
      <c r="R3" s="457" t="s">
        <v>142</v>
      </c>
      <c r="S3" s="409"/>
      <c r="T3" s="14" t="s">
        <v>539</v>
      </c>
      <c r="U3" s="14" t="s">
        <v>537</v>
      </c>
      <c r="V3" s="14" t="s">
        <v>662</v>
      </c>
      <c r="W3" s="14" t="s">
        <v>531</v>
      </c>
      <c r="X3" s="14" t="s">
        <v>950</v>
      </c>
      <c r="Y3" s="14" t="s">
        <v>530</v>
      </c>
      <c r="Z3" s="14" t="s">
        <v>948</v>
      </c>
      <c r="AA3" s="14" t="s">
        <v>535</v>
      </c>
      <c r="AB3" s="14" t="s">
        <v>658</v>
      </c>
      <c r="AC3" s="20" t="s">
        <v>533</v>
      </c>
      <c r="AD3" s="20" t="s">
        <v>891</v>
      </c>
      <c r="AE3" s="14" t="s">
        <v>659</v>
      </c>
      <c r="AF3" s="14" t="s">
        <v>660</v>
      </c>
      <c r="AG3" s="14" t="s">
        <v>951</v>
      </c>
      <c r="AH3" s="14" t="s">
        <v>704</v>
      </c>
      <c r="AI3" s="14" t="s">
        <v>141</v>
      </c>
      <c r="AK3" s="412"/>
    </row>
    <row r="4" spans="1:50" ht="14">
      <c r="A4" s="402" t="s">
        <v>531</v>
      </c>
      <c r="B4" s="403">
        <v>15037984</v>
      </c>
      <c r="C4" s="402" t="s">
        <v>652</v>
      </c>
      <c r="D4" s="402" t="s">
        <v>653</v>
      </c>
      <c r="E4" s="413">
        <v>8675.61</v>
      </c>
      <c r="F4" s="423">
        <v>11526.6</v>
      </c>
      <c r="G4" s="437">
        <v>14581.84</v>
      </c>
      <c r="H4" s="449">
        <v>16711.259999999998</v>
      </c>
      <c r="I4" s="450">
        <v>12673.76</v>
      </c>
      <c r="J4" s="453">
        <v>6761.07</v>
      </c>
      <c r="K4" s="461">
        <v>6398.21</v>
      </c>
      <c r="L4" s="463">
        <v>9332.32</v>
      </c>
      <c r="M4" s="468">
        <v>12854.04</v>
      </c>
      <c r="N4" s="471">
        <v>24963.48</v>
      </c>
      <c r="O4" s="474">
        <v>25336.63</v>
      </c>
      <c r="P4" s="477">
        <v>24737.89</v>
      </c>
      <c r="Q4" s="412">
        <f>+SUM(K4:P4)</f>
        <v>103622.57</v>
      </c>
      <c r="R4" s="456">
        <f t="shared" ref="R4:R31" si="2">+Q4/$R$2</f>
        <v>17270.428333333333</v>
      </c>
      <c r="T4" s="9">
        <f>+IF($A4=T$3,$D4,0)</f>
        <v>0</v>
      </c>
      <c r="U4" s="9">
        <f t="shared" ref="U4:AI19" si="3">+IF($A4=U$3,$Q4,0)</f>
        <v>0</v>
      </c>
      <c r="V4" s="9">
        <f t="shared" si="3"/>
        <v>0</v>
      </c>
      <c r="W4" s="9">
        <f t="shared" si="3"/>
        <v>103622.57</v>
      </c>
      <c r="X4" s="9">
        <f t="shared" si="3"/>
        <v>0</v>
      </c>
      <c r="Y4" s="9">
        <f t="shared" si="3"/>
        <v>0</v>
      </c>
      <c r="Z4" s="9">
        <f t="shared" si="3"/>
        <v>0</v>
      </c>
      <c r="AA4" s="9">
        <f t="shared" si="3"/>
        <v>0</v>
      </c>
      <c r="AB4" s="9">
        <f t="shared" si="3"/>
        <v>0</v>
      </c>
      <c r="AC4" s="9">
        <f t="shared" si="3"/>
        <v>0</v>
      </c>
      <c r="AD4" s="9">
        <f t="shared" si="3"/>
        <v>0</v>
      </c>
      <c r="AE4" s="9">
        <f t="shared" si="3"/>
        <v>0</v>
      </c>
      <c r="AF4" s="9">
        <f t="shared" si="3"/>
        <v>0</v>
      </c>
      <c r="AG4" s="9">
        <f t="shared" si="3"/>
        <v>0</v>
      </c>
      <c r="AH4" s="9">
        <f t="shared" si="3"/>
        <v>0</v>
      </c>
      <c r="AI4" s="9">
        <f t="shared" si="3"/>
        <v>0</v>
      </c>
      <c r="AK4" s="412">
        <f>+SUM(K4:P4)</f>
        <v>103622.57</v>
      </c>
      <c r="AL4" s="412">
        <f>+AI4-AK4</f>
        <v>-103622.57</v>
      </c>
    </row>
    <row r="5" spans="1:50" ht="14">
      <c r="A5" s="402" t="s">
        <v>704</v>
      </c>
      <c r="B5" s="404">
        <v>15066057</v>
      </c>
      <c r="C5" s="405"/>
      <c r="D5" s="405" t="s">
        <v>912</v>
      </c>
      <c r="E5" s="413">
        <v>7079.65</v>
      </c>
      <c r="F5" s="461">
        <v>7924.26</v>
      </c>
      <c r="G5" s="463">
        <v>8107.78</v>
      </c>
      <c r="H5" s="468">
        <v>7401.49</v>
      </c>
      <c r="I5" s="471">
        <v>6397.66</v>
      </c>
      <c r="J5" s="474">
        <v>5674.71</v>
      </c>
      <c r="K5" s="474">
        <v>5874.52</v>
      </c>
      <c r="L5" s="474">
        <v>6408.6</v>
      </c>
      <c r="M5" s="468">
        <v>12549.03</v>
      </c>
      <c r="N5" s="474">
        <v>12648.76</v>
      </c>
      <c r="O5" s="477">
        <v>11961.47</v>
      </c>
      <c r="P5" s="413">
        <v>16592.59</v>
      </c>
      <c r="Q5" s="412">
        <f t="shared" ref="Q5:Q68" si="4">+SUM(K5:P5)</f>
        <v>66034.97</v>
      </c>
      <c r="R5" s="456">
        <f t="shared" si="2"/>
        <v>11005.828333333333</v>
      </c>
      <c r="T5" s="9">
        <f t="shared" ref="T5:AI34" si="5">+IF($A5=T$3,$Q5,0)</f>
        <v>0</v>
      </c>
      <c r="U5" s="9">
        <f t="shared" si="3"/>
        <v>0</v>
      </c>
      <c r="V5" s="9">
        <f t="shared" si="3"/>
        <v>0</v>
      </c>
      <c r="W5" s="9">
        <f t="shared" si="3"/>
        <v>0</v>
      </c>
      <c r="X5" s="9">
        <f t="shared" si="3"/>
        <v>0</v>
      </c>
      <c r="Y5" s="9">
        <f t="shared" si="3"/>
        <v>0</v>
      </c>
      <c r="Z5" s="9">
        <f t="shared" si="3"/>
        <v>0</v>
      </c>
      <c r="AA5" s="9">
        <f t="shared" si="3"/>
        <v>0</v>
      </c>
      <c r="AB5" s="9">
        <f t="shared" si="3"/>
        <v>0</v>
      </c>
      <c r="AC5" s="9">
        <f t="shared" si="3"/>
        <v>0</v>
      </c>
      <c r="AD5" s="9">
        <f t="shared" si="3"/>
        <v>0</v>
      </c>
      <c r="AE5" s="9">
        <f t="shared" si="3"/>
        <v>0</v>
      </c>
      <c r="AF5" s="9">
        <f t="shared" si="3"/>
        <v>0</v>
      </c>
      <c r="AG5" s="9">
        <f t="shared" si="3"/>
        <v>0</v>
      </c>
      <c r="AH5" s="9">
        <f t="shared" si="3"/>
        <v>66034.97</v>
      </c>
      <c r="AI5" s="9">
        <f t="shared" si="3"/>
        <v>0</v>
      </c>
      <c r="AK5" s="412">
        <f t="shared" ref="AK5:AK68" si="6">+SUM(K5:P5)</f>
        <v>66034.97</v>
      </c>
      <c r="AL5" s="412">
        <f t="shared" ref="AL5:AL68" si="7">+AI5-AK5</f>
        <v>-66034.97</v>
      </c>
    </row>
    <row r="6" spans="1:50" ht="14">
      <c r="A6" s="402" t="s">
        <v>951</v>
      </c>
      <c r="B6" s="404">
        <v>15036764</v>
      </c>
      <c r="C6" s="405"/>
      <c r="D6" s="405" t="s">
        <v>951</v>
      </c>
      <c r="E6" s="413">
        <v>45502.11</v>
      </c>
      <c r="F6" s="423">
        <v>39384.36</v>
      </c>
      <c r="G6" s="437">
        <v>47281.11</v>
      </c>
      <c r="H6" s="449">
        <v>46094.400000000001</v>
      </c>
      <c r="I6" s="450">
        <v>27613.49</v>
      </c>
      <c r="J6" s="453">
        <v>28343.47</v>
      </c>
      <c r="K6" s="461">
        <v>49363.86</v>
      </c>
      <c r="L6" s="463">
        <v>54526.3</v>
      </c>
      <c r="M6" s="471">
        <v>99249.99</v>
      </c>
      <c r="N6" s="471">
        <v>102861.17</v>
      </c>
      <c r="O6" s="474">
        <v>91480.49</v>
      </c>
      <c r="P6" s="477">
        <v>91857.24</v>
      </c>
      <c r="Q6" s="412">
        <f t="shared" si="4"/>
        <v>489339.05</v>
      </c>
      <c r="R6" s="456">
        <f t="shared" si="2"/>
        <v>81556.508333333331</v>
      </c>
      <c r="S6" s="412"/>
      <c r="T6" s="9">
        <f t="shared" si="5"/>
        <v>0</v>
      </c>
      <c r="U6" s="9">
        <f t="shared" si="3"/>
        <v>0</v>
      </c>
      <c r="V6" s="9">
        <f t="shared" si="3"/>
        <v>0</v>
      </c>
      <c r="W6" s="9">
        <f t="shared" si="3"/>
        <v>0</v>
      </c>
      <c r="X6" s="9">
        <f t="shared" si="3"/>
        <v>0</v>
      </c>
      <c r="Y6" s="9">
        <f t="shared" si="3"/>
        <v>0</v>
      </c>
      <c r="Z6" s="9">
        <f t="shared" si="3"/>
        <v>0</v>
      </c>
      <c r="AA6" s="9">
        <f t="shared" si="3"/>
        <v>0</v>
      </c>
      <c r="AB6" s="9">
        <f t="shared" si="3"/>
        <v>0</v>
      </c>
      <c r="AC6" s="9">
        <f t="shared" si="3"/>
        <v>0</v>
      </c>
      <c r="AD6" s="9">
        <f t="shared" si="3"/>
        <v>0</v>
      </c>
      <c r="AE6" s="9">
        <f t="shared" si="3"/>
        <v>0</v>
      </c>
      <c r="AF6" s="9">
        <f t="shared" si="3"/>
        <v>0</v>
      </c>
      <c r="AG6" s="9">
        <f t="shared" si="3"/>
        <v>489339.05</v>
      </c>
      <c r="AH6" s="9">
        <f t="shared" si="3"/>
        <v>0</v>
      </c>
      <c r="AI6" s="9">
        <f t="shared" si="3"/>
        <v>0</v>
      </c>
      <c r="AK6" s="412">
        <f t="shared" si="6"/>
        <v>489339.05</v>
      </c>
      <c r="AL6" s="412">
        <f t="shared" si="7"/>
        <v>-489339.05</v>
      </c>
      <c r="AM6" t="s">
        <v>957</v>
      </c>
      <c r="AN6" s="458">
        <f>+T2</f>
        <v>0</v>
      </c>
      <c r="AO6" s="456">
        <f>+AN6*11.764706</f>
        <v>0</v>
      </c>
      <c r="AP6" s="456">
        <f>+AO6*0.085</f>
        <v>0</v>
      </c>
      <c r="AR6" s="458"/>
      <c r="AS6" s="456">
        <f>+AR6*11.764706</f>
        <v>0</v>
      </c>
      <c r="AT6" s="456">
        <f>+AS6*0.085</f>
        <v>0</v>
      </c>
      <c r="AV6" s="460">
        <f>+AO6+AS6</f>
        <v>0</v>
      </c>
    </row>
    <row r="7" spans="1:50" ht="14">
      <c r="A7" s="402" t="s">
        <v>705</v>
      </c>
      <c r="B7" s="404">
        <v>15037169</v>
      </c>
      <c r="C7" s="405"/>
      <c r="D7" s="405" t="s">
        <v>939</v>
      </c>
      <c r="E7" s="413">
        <v>1566.77</v>
      </c>
      <c r="F7" s="423">
        <v>1714.49</v>
      </c>
      <c r="G7" s="437">
        <v>2010.77</v>
      </c>
      <c r="H7" s="449">
        <v>2099.34</v>
      </c>
      <c r="I7" s="450">
        <v>1460.07</v>
      </c>
      <c r="J7" s="453">
        <v>777.92</v>
      </c>
      <c r="K7" s="461">
        <v>1295.27</v>
      </c>
      <c r="L7" s="463">
        <v>634.48</v>
      </c>
      <c r="M7" s="468">
        <v>1538.73</v>
      </c>
      <c r="N7" s="471">
        <v>2956.63</v>
      </c>
      <c r="O7" s="474">
        <v>2431.29</v>
      </c>
      <c r="P7" s="477">
        <v>2618.9</v>
      </c>
      <c r="Q7" s="412">
        <f t="shared" si="4"/>
        <v>11475.300000000001</v>
      </c>
      <c r="R7" s="456">
        <f t="shared" si="2"/>
        <v>1912.5500000000002</v>
      </c>
      <c r="T7" s="9">
        <f t="shared" si="5"/>
        <v>0</v>
      </c>
      <c r="U7" s="9">
        <f t="shared" si="3"/>
        <v>0</v>
      </c>
      <c r="V7" s="9">
        <f t="shared" si="3"/>
        <v>0</v>
      </c>
      <c r="W7" s="9">
        <f t="shared" si="3"/>
        <v>0</v>
      </c>
      <c r="X7" s="9">
        <f t="shared" si="3"/>
        <v>0</v>
      </c>
      <c r="Y7" s="9">
        <f t="shared" si="3"/>
        <v>0</v>
      </c>
      <c r="Z7" s="9">
        <f t="shared" si="3"/>
        <v>0</v>
      </c>
      <c r="AA7" s="9">
        <f t="shared" si="3"/>
        <v>0</v>
      </c>
      <c r="AB7" s="9">
        <f t="shared" si="3"/>
        <v>0</v>
      </c>
      <c r="AC7" s="9">
        <f t="shared" si="3"/>
        <v>0</v>
      </c>
      <c r="AD7" s="9">
        <f t="shared" si="3"/>
        <v>0</v>
      </c>
      <c r="AE7" s="9">
        <f t="shared" si="3"/>
        <v>0</v>
      </c>
      <c r="AF7" s="9">
        <f t="shared" si="3"/>
        <v>0</v>
      </c>
      <c r="AG7" s="9">
        <f t="shared" si="3"/>
        <v>0</v>
      </c>
      <c r="AH7" s="9">
        <f t="shared" si="3"/>
        <v>11475.300000000001</v>
      </c>
      <c r="AI7" s="9">
        <f t="shared" si="3"/>
        <v>0</v>
      </c>
      <c r="AK7" s="412">
        <f t="shared" si="6"/>
        <v>11475.300000000001</v>
      </c>
      <c r="AL7" s="412">
        <f t="shared" si="7"/>
        <v>-11475.300000000001</v>
      </c>
      <c r="AM7" t="s">
        <v>958</v>
      </c>
      <c r="AN7" s="458">
        <f>+U2</f>
        <v>400200.54000000004</v>
      </c>
      <c r="AO7" s="456">
        <f t="shared" ref="AO7:AO16" si="8">+AN7*11.764706</f>
        <v>4708241.6941412408</v>
      </c>
      <c r="AP7" s="456">
        <f t="shared" ref="AP7:AP16" si="9">+AO7*0.085</f>
        <v>400200.54400200548</v>
      </c>
      <c r="AR7" s="458">
        <f>+'2020'!AE118</f>
        <v>274233.39</v>
      </c>
      <c r="AS7" s="456">
        <f t="shared" ref="AS7:AS16" si="10">+AR7*11.764706</f>
        <v>3226275.2087333403</v>
      </c>
      <c r="AT7" s="456">
        <f t="shared" ref="AT7:AT16" si="11">+AS7*0.085</f>
        <v>274233.39274233393</v>
      </c>
      <c r="AV7" s="460">
        <f t="shared" ref="AV7:AV16" si="12">+AO7+AS7</f>
        <v>7934516.9028745815</v>
      </c>
      <c r="AX7" s="458">
        <f>+AN7+AR7</f>
        <v>674433.93</v>
      </c>
    </row>
    <row r="8" spans="1:50" ht="14">
      <c r="A8" s="402" t="s">
        <v>533</v>
      </c>
      <c r="B8" s="403">
        <v>15008670</v>
      </c>
      <c r="C8" s="402" t="s">
        <v>114</v>
      </c>
      <c r="D8" s="402" t="s">
        <v>114</v>
      </c>
      <c r="E8" s="413">
        <v>4220.8999999999996</v>
      </c>
      <c r="F8" s="423">
        <v>4105.82</v>
      </c>
      <c r="G8" s="437">
        <v>3919.83</v>
      </c>
      <c r="H8" s="449">
        <v>4132.6400000000003</v>
      </c>
      <c r="I8" s="450">
        <v>3175.95</v>
      </c>
      <c r="J8" s="453">
        <v>2771.29</v>
      </c>
      <c r="K8" s="461">
        <v>4028.17</v>
      </c>
      <c r="L8" s="463">
        <v>3134.38</v>
      </c>
      <c r="M8" s="468">
        <v>4906.37</v>
      </c>
      <c r="N8" s="471">
        <v>5009.87</v>
      </c>
      <c r="O8" s="474">
        <v>5786.14</v>
      </c>
      <c r="P8" s="477">
        <v>5082.34</v>
      </c>
      <c r="Q8" s="412">
        <f t="shared" si="4"/>
        <v>27947.27</v>
      </c>
      <c r="R8" s="456">
        <f t="shared" si="2"/>
        <v>4657.8783333333331</v>
      </c>
      <c r="T8" s="9">
        <f t="shared" si="5"/>
        <v>0</v>
      </c>
      <c r="U8" s="9">
        <f t="shared" si="3"/>
        <v>0</v>
      </c>
      <c r="V8" s="9">
        <f t="shared" si="3"/>
        <v>0</v>
      </c>
      <c r="W8" s="9">
        <f t="shared" si="3"/>
        <v>0</v>
      </c>
      <c r="X8" s="9">
        <f t="shared" si="3"/>
        <v>0</v>
      </c>
      <c r="Y8" s="9">
        <f t="shared" si="3"/>
        <v>0</v>
      </c>
      <c r="Z8" s="9">
        <f t="shared" si="3"/>
        <v>0</v>
      </c>
      <c r="AA8" s="9">
        <f t="shared" si="3"/>
        <v>0</v>
      </c>
      <c r="AB8" s="9">
        <f t="shared" si="3"/>
        <v>0</v>
      </c>
      <c r="AC8" s="9">
        <f t="shared" si="3"/>
        <v>27947.27</v>
      </c>
      <c r="AD8" s="9">
        <f t="shared" si="3"/>
        <v>0</v>
      </c>
      <c r="AE8" s="9">
        <f t="shared" si="3"/>
        <v>0</v>
      </c>
      <c r="AF8" s="9">
        <f t="shared" si="3"/>
        <v>0</v>
      </c>
      <c r="AG8" s="9">
        <f t="shared" si="3"/>
        <v>0</v>
      </c>
      <c r="AH8" s="9">
        <f t="shared" si="3"/>
        <v>0</v>
      </c>
      <c r="AI8" s="9">
        <f t="shared" si="3"/>
        <v>0</v>
      </c>
      <c r="AK8" s="412">
        <f t="shared" si="6"/>
        <v>27947.27</v>
      </c>
      <c r="AL8" s="412">
        <f t="shared" si="7"/>
        <v>-27947.27</v>
      </c>
      <c r="AM8" t="s">
        <v>959</v>
      </c>
      <c r="AN8" s="458">
        <f>+V2</f>
        <v>101080.48000000001</v>
      </c>
      <c r="AO8" s="456">
        <f t="shared" si="8"/>
        <v>1189182.1295388802</v>
      </c>
      <c r="AP8" s="456">
        <f t="shared" si="9"/>
        <v>101080.48101080483</v>
      </c>
      <c r="AR8" s="458">
        <f>+'2020'!AF118</f>
        <v>92074.87000000001</v>
      </c>
      <c r="AS8" s="456">
        <f t="shared" si="10"/>
        <v>1083233.7755382201</v>
      </c>
      <c r="AT8" s="456">
        <f t="shared" si="11"/>
        <v>92074.870920748712</v>
      </c>
      <c r="AV8" s="460">
        <f t="shared" si="12"/>
        <v>2272415.9050771003</v>
      </c>
      <c r="AX8" s="458">
        <f t="shared" ref="AX8:AX16" si="13">+AN8+AR8</f>
        <v>193155.35000000003</v>
      </c>
    </row>
    <row r="9" spans="1:50" ht="14">
      <c r="A9" s="402" t="s">
        <v>664</v>
      </c>
      <c r="B9" s="403">
        <v>70000000</v>
      </c>
      <c r="C9" s="402" t="s">
        <v>229</v>
      </c>
      <c r="D9" s="402" t="s">
        <v>229</v>
      </c>
      <c r="E9" s="413">
        <v>1452.65</v>
      </c>
      <c r="F9" s="423">
        <v>1490.65</v>
      </c>
      <c r="G9" s="437">
        <v>1526.77</v>
      </c>
      <c r="H9" s="449">
        <v>1453.58</v>
      </c>
      <c r="I9" s="450">
        <v>1395.27</v>
      </c>
      <c r="J9" s="453">
        <v>1212.52</v>
      </c>
      <c r="K9" s="461">
        <v>1416.18</v>
      </c>
      <c r="L9" s="463">
        <v>1186.94</v>
      </c>
      <c r="M9" s="468">
        <v>1423.49</v>
      </c>
      <c r="N9" s="471">
        <v>1200.2</v>
      </c>
      <c r="O9" s="474">
        <v>1260.1199999999999</v>
      </c>
      <c r="P9" s="477">
        <v>1320.47</v>
      </c>
      <c r="Q9" s="412">
        <f t="shared" si="4"/>
        <v>7807.4</v>
      </c>
      <c r="R9" s="456">
        <f t="shared" si="2"/>
        <v>1301.2333333333333</v>
      </c>
      <c r="T9" s="9">
        <f t="shared" si="5"/>
        <v>0</v>
      </c>
      <c r="U9" s="9">
        <f t="shared" si="3"/>
        <v>0</v>
      </c>
      <c r="V9" s="9">
        <f t="shared" si="3"/>
        <v>0</v>
      </c>
      <c r="W9" s="9">
        <f t="shared" si="3"/>
        <v>0</v>
      </c>
      <c r="X9" s="9">
        <f t="shared" si="3"/>
        <v>0</v>
      </c>
      <c r="Y9" s="9">
        <f t="shared" si="3"/>
        <v>0</v>
      </c>
      <c r="Z9" s="9">
        <f t="shared" si="3"/>
        <v>0</v>
      </c>
      <c r="AA9" s="9">
        <f t="shared" si="3"/>
        <v>0</v>
      </c>
      <c r="AB9" s="9">
        <f t="shared" si="3"/>
        <v>0</v>
      </c>
      <c r="AC9" s="9">
        <f t="shared" si="3"/>
        <v>0</v>
      </c>
      <c r="AD9" s="9">
        <f t="shared" si="3"/>
        <v>0</v>
      </c>
      <c r="AE9" s="9">
        <f t="shared" si="3"/>
        <v>0</v>
      </c>
      <c r="AF9" s="9">
        <f t="shared" si="3"/>
        <v>7807.4</v>
      </c>
      <c r="AG9" s="9">
        <f t="shared" si="3"/>
        <v>0</v>
      </c>
      <c r="AH9" s="9">
        <f t="shared" si="3"/>
        <v>0</v>
      </c>
      <c r="AI9" s="9">
        <f t="shared" si="3"/>
        <v>0</v>
      </c>
      <c r="AK9" s="412">
        <f t="shared" si="6"/>
        <v>7807.4</v>
      </c>
      <c r="AL9" s="412">
        <f t="shared" si="7"/>
        <v>-7807.4</v>
      </c>
      <c r="AM9" t="s">
        <v>960</v>
      </c>
      <c r="AN9" s="458">
        <f>+W2</f>
        <v>911162.67</v>
      </c>
      <c r="AO9" s="456">
        <f t="shared" si="8"/>
        <v>10719560.930725021</v>
      </c>
      <c r="AP9" s="456">
        <f t="shared" si="9"/>
        <v>911162.67911162693</v>
      </c>
      <c r="AR9" s="458">
        <f>+'2020'!AG118</f>
        <v>609502.32999999984</v>
      </c>
      <c r="AS9" s="456">
        <f t="shared" si="10"/>
        <v>7170615.7187649785</v>
      </c>
      <c r="AT9" s="456">
        <f t="shared" si="11"/>
        <v>609502.3360950232</v>
      </c>
      <c r="AV9" s="460">
        <f t="shared" si="12"/>
        <v>17890176.649489999</v>
      </c>
      <c r="AX9" s="458">
        <f t="shared" si="13"/>
        <v>1520665</v>
      </c>
    </row>
    <row r="10" spans="1:50" ht="14">
      <c r="A10" s="402" t="s">
        <v>951</v>
      </c>
      <c r="B10" s="403">
        <v>15057248</v>
      </c>
      <c r="C10" s="402"/>
      <c r="D10" s="402" t="s">
        <v>952</v>
      </c>
      <c r="E10" s="439"/>
      <c r="F10" s="437">
        <v>123.67</v>
      </c>
      <c r="G10" s="437">
        <v>98.94</v>
      </c>
      <c r="H10" s="449">
        <v>48.2</v>
      </c>
      <c r="I10" s="453">
        <v>129.78</v>
      </c>
      <c r="J10" s="453">
        <v>153</v>
      </c>
      <c r="K10" s="463">
        <v>89.85</v>
      </c>
      <c r="L10" s="463">
        <v>39.44</v>
      </c>
      <c r="M10" s="468">
        <v>96.4</v>
      </c>
      <c r="N10" s="471">
        <v>171.27</v>
      </c>
      <c r="O10" s="474">
        <v>389.55</v>
      </c>
      <c r="P10" s="413">
        <v>293</v>
      </c>
      <c r="Q10" s="412">
        <f t="shared" si="4"/>
        <v>1079.51</v>
      </c>
      <c r="R10" s="456">
        <f t="shared" si="2"/>
        <v>179.91833333333332</v>
      </c>
      <c r="T10" s="9">
        <f t="shared" si="5"/>
        <v>0</v>
      </c>
      <c r="U10" s="9">
        <f t="shared" si="3"/>
        <v>0</v>
      </c>
      <c r="V10" s="9">
        <f t="shared" si="3"/>
        <v>0</v>
      </c>
      <c r="W10" s="9">
        <f t="shared" si="3"/>
        <v>0</v>
      </c>
      <c r="X10" s="9">
        <f t="shared" si="3"/>
        <v>0</v>
      </c>
      <c r="Y10" s="9">
        <f t="shared" si="3"/>
        <v>0</v>
      </c>
      <c r="Z10" s="9">
        <f t="shared" si="3"/>
        <v>0</v>
      </c>
      <c r="AA10" s="9">
        <f t="shared" si="3"/>
        <v>0</v>
      </c>
      <c r="AB10" s="9">
        <f t="shared" si="3"/>
        <v>0</v>
      </c>
      <c r="AC10" s="9">
        <f t="shared" si="3"/>
        <v>0</v>
      </c>
      <c r="AD10" s="9">
        <f t="shared" si="3"/>
        <v>0</v>
      </c>
      <c r="AE10" s="9">
        <f t="shared" si="3"/>
        <v>0</v>
      </c>
      <c r="AF10" s="9">
        <f t="shared" si="3"/>
        <v>0</v>
      </c>
      <c r="AG10" s="9">
        <f t="shared" si="3"/>
        <v>1079.51</v>
      </c>
      <c r="AH10" s="9">
        <f t="shared" si="3"/>
        <v>0</v>
      </c>
      <c r="AI10" s="9">
        <f t="shared" si="3"/>
        <v>0</v>
      </c>
      <c r="AK10" s="412">
        <f t="shared" si="6"/>
        <v>1079.51</v>
      </c>
      <c r="AL10" s="412">
        <f t="shared" si="7"/>
        <v>-1079.51</v>
      </c>
      <c r="AM10" t="s">
        <v>961</v>
      </c>
      <c r="AN10" s="458">
        <f>+Y2</f>
        <v>846465.98</v>
      </c>
      <c r="AO10" s="456">
        <f t="shared" si="8"/>
        <v>9958423.3937018793</v>
      </c>
      <c r="AP10" s="456">
        <f t="shared" si="9"/>
        <v>846465.98846465978</v>
      </c>
      <c r="AR10" s="458">
        <f>+'2020'!AI118</f>
        <v>408788.39</v>
      </c>
      <c r="AS10" s="456">
        <f t="shared" si="10"/>
        <v>4809275.2245633407</v>
      </c>
      <c r="AT10" s="456">
        <f t="shared" si="11"/>
        <v>408788.39408788399</v>
      </c>
      <c r="AV10" s="460">
        <f t="shared" si="12"/>
        <v>14767698.618265219</v>
      </c>
      <c r="AX10" s="458">
        <f t="shared" si="13"/>
        <v>1255254.3700000001</v>
      </c>
    </row>
    <row r="11" spans="1:50" ht="14">
      <c r="A11" s="402" t="s">
        <v>664</v>
      </c>
      <c r="B11" s="403">
        <v>15051606</v>
      </c>
      <c r="C11" s="402" t="s">
        <v>639</v>
      </c>
      <c r="D11" s="402" t="s">
        <v>940</v>
      </c>
      <c r="E11" s="413">
        <v>13469.68</v>
      </c>
      <c r="F11" s="423">
        <v>18334.68</v>
      </c>
      <c r="G11" s="437">
        <v>20034.8</v>
      </c>
      <c r="H11" s="449">
        <v>23885.95</v>
      </c>
      <c r="I11" s="450">
        <v>15773.41</v>
      </c>
      <c r="J11" s="453">
        <v>9838.5499999999993</v>
      </c>
      <c r="K11" s="461">
        <v>10995.43</v>
      </c>
      <c r="L11" s="463">
        <v>13647.81</v>
      </c>
      <c r="M11" s="468">
        <v>19250.59</v>
      </c>
      <c r="N11" s="471">
        <v>27376.55</v>
      </c>
      <c r="O11" s="474">
        <v>35096.1</v>
      </c>
      <c r="P11" s="477">
        <v>43911.07</v>
      </c>
      <c r="Q11" s="412">
        <f t="shared" si="4"/>
        <v>150277.55000000002</v>
      </c>
      <c r="R11" s="456">
        <f t="shared" si="2"/>
        <v>25046.258333333335</v>
      </c>
      <c r="T11" s="9">
        <f t="shared" si="5"/>
        <v>0</v>
      </c>
      <c r="U11" s="9">
        <f t="shared" si="3"/>
        <v>0</v>
      </c>
      <c r="V11" s="9">
        <f t="shared" si="3"/>
        <v>0</v>
      </c>
      <c r="W11" s="9">
        <f t="shared" si="3"/>
        <v>0</v>
      </c>
      <c r="X11" s="9">
        <f t="shared" si="3"/>
        <v>0</v>
      </c>
      <c r="Y11" s="9">
        <f t="shared" si="3"/>
        <v>0</v>
      </c>
      <c r="Z11" s="9">
        <f t="shared" si="3"/>
        <v>0</v>
      </c>
      <c r="AA11" s="9">
        <f t="shared" si="3"/>
        <v>0</v>
      </c>
      <c r="AB11" s="9">
        <f t="shared" si="3"/>
        <v>0</v>
      </c>
      <c r="AC11" s="9">
        <f t="shared" si="3"/>
        <v>0</v>
      </c>
      <c r="AD11" s="9">
        <f t="shared" si="3"/>
        <v>0</v>
      </c>
      <c r="AE11" s="9">
        <f t="shared" si="3"/>
        <v>0</v>
      </c>
      <c r="AF11" s="9">
        <f t="shared" si="3"/>
        <v>150277.55000000002</v>
      </c>
      <c r="AG11" s="9">
        <f t="shared" si="3"/>
        <v>0</v>
      </c>
      <c r="AH11" s="9">
        <f t="shared" si="3"/>
        <v>0</v>
      </c>
      <c r="AI11" s="9">
        <f t="shared" si="3"/>
        <v>0</v>
      </c>
      <c r="AK11" s="412">
        <f t="shared" si="6"/>
        <v>150277.55000000002</v>
      </c>
      <c r="AL11" s="412">
        <f t="shared" si="7"/>
        <v>-150277.55000000002</v>
      </c>
      <c r="AM11" t="s">
        <v>663</v>
      </c>
      <c r="AN11" s="458">
        <f>+AA2</f>
        <v>994315.14000000013</v>
      </c>
      <c r="AO11" s="456">
        <f t="shared" si="8"/>
        <v>11697825.293448841</v>
      </c>
      <c r="AP11" s="456">
        <f t="shared" si="9"/>
        <v>994315.14994315163</v>
      </c>
      <c r="AR11" s="458">
        <f>+'2020'!AK118</f>
        <v>665033.63000000012</v>
      </c>
      <c r="AS11" s="456">
        <f t="shared" si="10"/>
        <v>7823925.1370627815</v>
      </c>
      <c r="AT11" s="456">
        <f t="shared" si="11"/>
        <v>665033.63665033644</v>
      </c>
      <c r="AV11" s="460">
        <f t="shared" si="12"/>
        <v>19521750.430511624</v>
      </c>
      <c r="AX11" s="458">
        <f t="shared" si="13"/>
        <v>1659348.7700000003</v>
      </c>
    </row>
    <row r="12" spans="1:50" ht="14">
      <c r="A12" s="402" t="s">
        <v>535</v>
      </c>
      <c r="B12" s="403">
        <v>7003201</v>
      </c>
      <c r="C12" s="402" t="s">
        <v>525</v>
      </c>
      <c r="D12" s="402" t="s">
        <v>385</v>
      </c>
      <c r="E12" s="413">
        <v>8111.41</v>
      </c>
      <c r="F12" s="423">
        <v>8656.9500000000007</v>
      </c>
      <c r="G12" s="437">
        <v>9608.5300000000007</v>
      </c>
      <c r="H12" s="449">
        <v>11705.14</v>
      </c>
      <c r="I12" s="450">
        <v>9940.33</v>
      </c>
      <c r="J12" s="453">
        <v>7554.13</v>
      </c>
      <c r="K12" s="463">
        <v>8792.0400000000009</v>
      </c>
      <c r="L12" s="463">
        <v>9214.24</v>
      </c>
      <c r="M12" s="468">
        <v>9110.57</v>
      </c>
      <c r="N12" s="471">
        <v>10626.14</v>
      </c>
      <c r="O12" s="474">
        <v>11445.42</v>
      </c>
      <c r="P12" s="477">
        <v>14811.78</v>
      </c>
      <c r="Q12" s="412">
        <f t="shared" si="4"/>
        <v>64000.189999999995</v>
      </c>
      <c r="R12" s="456">
        <f t="shared" si="2"/>
        <v>10666.698333333332</v>
      </c>
      <c r="T12" s="9">
        <f t="shared" si="5"/>
        <v>0</v>
      </c>
      <c r="U12" s="9">
        <f t="shared" si="3"/>
        <v>0</v>
      </c>
      <c r="V12" s="9">
        <f t="shared" si="3"/>
        <v>0</v>
      </c>
      <c r="W12" s="9">
        <f t="shared" si="3"/>
        <v>0</v>
      </c>
      <c r="X12" s="9">
        <f t="shared" si="3"/>
        <v>0</v>
      </c>
      <c r="Y12" s="9">
        <f t="shared" si="3"/>
        <v>0</v>
      </c>
      <c r="Z12" s="9">
        <f t="shared" si="3"/>
        <v>0</v>
      </c>
      <c r="AA12" s="9">
        <f t="shared" si="3"/>
        <v>64000.189999999995</v>
      </c>
      <c r="AB12" s="9">
        <f t="shared" si="3"/>
        <v>0</v>
      </c>
      <c r="AC12" s="9">
        <f t="shared" si="3"/>
        <v>0</v>
      </c>
      <c r="AD12" s="9">
        <f t="shared" si="3"/>
        <v>0</v>
      </c>
      <c r="AE12" s="9">
        <f t="shared" si="3"/>
        <v>0</v>
      </c>
      <c r="AF12" s="9">
        <f t="shared" si="3"/>
        <v>0</v>
      </c>
      <c r="AG12" s="9">
        <f t="shared" si="3"/>
        <v>0</v>
      </c>
      <c r="AH12" s="9">
        <f t="shared" si="3"/>
        <v>0</v>
      </c>
      <c r="AI12" s="9">
        <f t="shared" si="3"/>
        <v>0</v>
      </c>
      <c r="AK12" s="412">
        <f t="shared" si="6"/>
        <v>64000.189999999995</v>
      </c>
      <c r="AL12" s="412">
        <f t="shared" si="7"/>
        <v>-64000.189999999995</v>
      </c>
      <c r="AM12" t="s">
        <v>962</v>
      </c>
      <c r="AN12" s="458">
        <f>+AB2</f>
        <v>695902.73</v>
      </c>
      <c r="AO12" s="456">
        <f t="shared" si="8"/>
        <v>8187091.0230473801</v>
      </c>
      <c r="AP12" s="456">
        <f t="shared" si="9"/>
        <v>695902.73695902736</v>
      </c>
      <c r="AR12" s="458">
        <f>+'2020'!AL118</f>
        <v>370955.83</v>
      </c>
      <c r="AS12" s="456">
        <f t="shared" si="10"/>
        <v>4364186.2789359801</v>
      </c>
      <c r="AT12" s="456">
        <f t="shared" si="11"/>
        <v>370955.83370955836</v>
      </c>
      <c r="AV12" s="460">
        <f t="shared" si="12"/>
        <v>12551277.30198336</v>
      </c>
      <c r="AX12" s="458">
        <f t="shared" si="13"/>
        <v>1066858.56</v>
      </c>
    </row>
    <row r="13" spans="1:50" ht="14">
      <c r="A13" s="402" t="s">
        <v>662</v>
      </c>
      <c r="B13" s="404">
        <v>7000200</v>
      </c>
      <c r="C13" s="405" t="s">
        <v>230</v>
      </c>
      <c r="D13" s="405" t="s">
        <v>230</v>
      </c>
      <c r="E13" s="413">
        <v>2037.7</v>
      </c>
      <c r="F13" s="468">
        <v>1997.33</v>
      </c>
      <c r="G13" s="468">
        <v>1837.36</v>
      </c>
      <c r="H13" s="468">
        <v>1837.7</v>
      </c>
      <c r="I13" s="468">
        <v>1999.2</v>
      </c>
      <c r="J13" s="468">
        <v>1829.2</v>
      </c>
      <c r="K13" s="468">
        <v>2024.53</v>
      </c>
      <c r="L13" s="468">
        <v>2092.2800000000002</v>
      </c>
      <c r="M13" s="468">
        <v>1856.83</v>
      </c>
      <c r="N13" s="477">
        <v>2039.57</v>
      </c>
      <c r="O13" s="461">
        <v>1858.44</v>
      </c>
      <c r="P13" s="461">
        <v>2067.37</v>
      </c>
      <c r="Q13" s="412">
        <f t="shared" si="4"/>
        <v>11939.02</v>
      </c>
      <c r="R13" s="456">
        <f t="shared" si="2"/>
        <v>1989.8366666666668</v>
      </c>
      <c r="T13" s="9">
        <f t="shared" si="5"/>
        <v>0</v>
      </c>
      <c r="U13" s="9">
        <f t="shared" si="3"/>
        <v>0</v>
      </c>
      <c r="V13" s="9">
        <f t="shared" si="3"/>
        <v>11939.02</v>
      </c>
      <c r="W13" s="9">
        <f t="shared" si="3"/>
        <v>0</v>
      </c>
      <c r="X13" s="9">
        <f t="shared" si="3"/>
        <v>0</v>
      </c>
      <c r="Y13" s="9">
        <f t="shared" si="3"/>
        <v>0</v>
      </c>
      <c r="Z13" s="9">
        <f t="shared" si="3"/>
        <v>0</v>
      </c>
      <c r="AA13" s="9">
        <f t="shared" si="3"/>
        <v>0</v>
      </c>
      <c r="AB13" s="9">
        <f t="shared" si="3"/>
        <v>0</v>
      </c>
      <c r="AC13" s="9">
        <f t="shared" si="3"/>
        <v>0</v>
      </c>
      <c r="AD13" s="9">
        <f t="shared" si="3"/>
        <v>0</v>
      </c>
      <c r="AE13" s="9">
        <f t="shared" si="3"/>
        <v>0</v>
      </c>
      <c r="AF13" s="9">
        <f t="shared" si="3"/>
        <v>0</v>
      </c>
      <c r="AG13" s="9">
        <f t="shared" si="3"/>
        <v>0</v>
      </c>
      <c r="AH13" s="9">
        <f t="shared" si="3"/>
        <v>0</v>
      </c>
      <c r="AI13" s="9">
        <f t="shared" si="3"/>
        <v>0</v>
      </c>
      <c r="AK13" s="412">
        <f t="shared" si="6"/>
        <v>11939.02</v>
      </c>
      <c r="AL13" s="412">
        <f t="shared" si="7"/>
        <v>-11939.02</v>
      </c>
      <c r="AM13" t="s">
        <v>963</v>
      </c>
      <c r="AN13" s="458">
        <f>+AC2</f>
        <v>351033.18999999994</v>
      </c>
      <c r="AO13" s="456">
        <f t="shared" si="8"/>
        <v>4129802.2765921396</v>
      </c>
      <c r="AP13" s="456">
        <f t="shared" si="9"/>
        <v>351033.19351033191</v>
      </c>
      <c r="AR13" s="458">
        <f>+'2020'!AM118</f>
        <v>191224.18</v>
      </c>
      <c r="AS13" s="456">
        <f t="shared" si="10"/>
        <v>2249696.25779108</v>
      </c>
      <c r="AT13" s="456">
        <f t="shared" si="11"/>
        <v>191224.18191224182</v>
      </c>
      <c r="AV13" s="460">
        <f t="shared" si="12"/>
        <v>6379498.5343832197</v>
      </c>
      <c r="AX13" s="458">
        <f t="shared" si="13"/>
        <v>542257.36999999988</v>
      </c>
    </row>
    <row r="14" spans="1:50" ht="14">
      <c r="A14" s="402" t="s">
        <v>535</v>
      </c>
      <c r="B14" s="404">
        <v>15051607</v>
      </c>
      <c r="C14" s="405" t="s">
        <v>640</v>
      </c>
      <c r="D14" s="405" t="s">
        <v>641</v>
      </c>
      <c r="E14" s="413">
        <v>6529.03</v>
      </c>
      <c r="F14" s="437">
        <v>12546.92</v>
      </c>
      <c r="G14" s="450">
        <v>30546.35</v>
      </c>
      <c r="H14" s="449">
        <v>9484.9599999999991</v>
      </c>
      <c r="I14" s="453">
        <v>32809.71</v>
      </c>
      <c r="J14" s="461">
        <v>22269.54</v>
      </c>
      <c r="K14" s="463">
        <v>6251.82</v>
      </c>
      <c r="L14" s="468">
        <f>12636.74+21818.43</f>
        <v>34455.17</v>
      </c>
      <c r="M14" s="471">
        <v>37844.28</v>
      </c>
      <c r="N14" s="471">
        <v>25754.74</v>
      </c>
      <c r="O14" s="474">
        <v>24258.94</v>
      </c>
      <c r="P14" s="477">
        <v>31335.68</v>
      </c>
      <c r="Q14" s="412">
        <f t="shared" si="4"/>
        <v>159900.63</v>
      </c>
      <c r="R14" s="456">
        <f t="shared" si="2"/>
        <v>26650.105</v>
      </c>
      <c r="T14" s="9">
        <f t="shared" si="5"/>
        <v>0</v>
      </c>
      <c r="U14" s="9">
        <f t="shared" si="3"/>
        <v>0</v>
      </c>
      <c r="V14" s="9">
        <f t="shared" si="3"/>
        <v>0</v>
      </c>
      <c r="W14" s="9">
        <f t="shared" si="3"/>
        <v>0</v>
      </c>
      <c r="X14" s="9">
        <f t="shared" si="3"/>
        <v>0</v>
      </c>
      <c r="Y14" s="9">
        <f t="shared" si="3"/>
        <v>0</v>
      </c>
      <c r="Z14" s="9">
        <f t="shared" si="3"/>
        <v>0</v>
      </c>
      <c r="AA14" s="9">
        <f t="shared" si="3"/>
        <v>159900.63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F14" s="9">
        <f t="shared" si="3"/>
        <v>0</v>
      </c>
      <c r="AG14" s="9">
        <f t="shared" si="3"/>
        <v>0</v>
      </c>
      <c r="AH14" s="9">
        <f t="shared" si="3"/>
        <v>0</v>
      </c>
      <c r="AI14" s="9">
        <f t="shared" si="3"/>
        <v>0</v>
      </c>
      <c r="AK14" s="412">
        <f t="shared" si="6"/>
        <v>159900.63</v>
      </c>
      <c r="AL14" s="412">
        <f t="shared" si="7"/>
        <v>-159900.63</v>
      </c>
      <c r="AM14" t="s">
        <v>964</v>
      </c>
      <c r="AN14" s="458">
        <f>+AE2</f>
        <v>507946.28</v>
      </c>
      <c r="AO14" s="456">
        <f t="shared" si="8"/>
        <v>5975838.6479936801</v>
      </c>
      <c r="AP14" s="456">
        <f t="shared" si="9"/>
        <v>507946.28507946286</v>
      </c>
      <c r="AR14" s="458">
        <f>+'2020'!AO118</f>
        <v>363793.70999999996</v>
      </c>
      <c r="AS14" s="456">
        <f t="shared" si="10"/>
        <v>4279926.0427992595</v>
      </c>
      <c r="AT14" s="456">
        <f t="shared" si="11"/>
        <v>363793.71363793709</v>
      </c>
      <c r="AV14" s="460">
        <f t="shared" si="12"/>
        <v>10255764.690792941</v>
      </c>
      <c r="AX14" s="458">
        <f t="shared" si="13"/>
        <v>871739.99</v>
      </c>
    </row>
    <row r="15" spans="1:50" ht="14">
      <c r="A15" s="402" t="s">
        <v>533</v>
      </c>
      <c r="B15" s="403">
        <v>15058371</v>
      </c>
      <c r="C15" s="402" t="s">
        <v>830</v>
      </c>
      <c r="D15" s="402" t="s">
        <v>231</v>
      </c>
      <c r="E15" s="413">
        <v>2381.21</v>
      </c>
      <c r="F15" s="423">
        <v>2152.08</v>
      </c>
      <c r="G15" s="437">
        <v>2649.93</v>
      </c>
      <c r="H15" s="449">
        <v>2377.86</v>
      </c>
      <c r="I15" s="450">
        <v>2117.6</v>
      </c>
      <c r="J15" s="453">
        <v>1495.52</v>
      </c>
      <c r="K15" s="461">
        <v>1269.6400000000001</v>
      </c>
      <c r="L15" s="463">
        <v>1303.2</v>
      </c>
      <c r="M15" s="468">
        <v>2799.56</v>
      </c>
      <c r="N15" s="471">
        <v>4959.09</v>
      </c>
      <c r="O15" s="474">
        <v>3329.6</v>
      </c>
      <c r="P15" s="477">
        <v>5728.37</v>
      </c>
      <c r="Q15" s="412">
        <f t="shared" si="4"/>
        <v>19389.46</v>
      </c>
      <c r="R15" s="456">
        <f t="shared" si="2"/>
        <v>3231.5766666666664</v>
      </c>
      <c r="T15" s="9">
        <f t="shared" si="5"/>
        <v>0</v>
      </c>
      <c r="U15" s="9">
        <f t="shared" si="3"/>
        <v>0</v>
      </c>
      <c r="V15" s="9">
        <f t="shared" si="3"/>
        <v>0</v>
      </c>
      <c r="W15" s="9">
        <f t="shared" si="3"/>
        <v>0</v>
      </c>
      <c r="X15" s="9">
        <f t="shared" si="3"/>
        <v>0</v>
      </c>
      <c r="Y15" s="9">
        <f t="shared" si="3"/>
        <v>0</v>
      </c>
      <c r="Z15" s="9">
        <f t="shared" si="3"/>
        <v>0</v>
      </c>
      <c r="AA15" s="9">
        <f t="shared" si="3"/>
        <v>0</v>
      </c>
      <c r="AB15" s="9">
        <f t="shared" si="3"/>
        <v>0</v>
      </c>
      <c r="AC15" s="9">
        <f t="shared" si="3"/>
        <v>19389.46</v>
      </c>
      <c r="AD15" s="9">
        <f t="shared" si="3"/>
        <v>0</v>
      </c>
      <c r="AE15" s="9">
        <f t="shared" si="3"/>
        <v>0</v>
      </c>
      <c r="AF15" s="9">
        <f t="shared" si="3"/>
        <v>0</v>
      </c>
      <c r="AG15" s="9">
        <f t="shared" si="3"/>
        <v>0</v>
      </c>
      <c r="AH15" s="9">
        <f t="shared" si="3"/>
        <v>0</v>
      </c>
      <c r="AI15" s="9">
        <f t="shared" si="3"/>
        <v>0</v>
      </c>
      <c r="AK15" s="412">
        <f t="shared" si="6"/>
        <v>19389.46</v>
      </c>
      <c r="AL15" s="412">
        <f t="shared" si="7"/>
        <v>-19389.46</v>
      </c>
      <c r="AM15" t="s">
        <v>664</v>
      </c>
      <c r="AN15" s="458">
        <f>+AF2</f>
        <v>371232.82000000007</v>
      </c>
      <c r="AO15" s="456">
        <f t="shared" si="8"/>
        <v>4367444.9848509207</v>
      </c>
      <c r="AP15" s="456">
        <f t="shared" si="9"/>
        <v>371232.82371232827</v>
      </c>
      <c r="AR15" s="458">
        <f>+'2020'!AP118</f>
        <v>229546.37</v>
      </c>
      <c r="AS15" s="456">
        <f t="shared" si="10"/>
        <v>2700545.5564172198</v>
      </c>
      <c r="AT15" s="456">
        <f t="shared" si="11"/>
        <v>229546.37229546369</v>
      </c>
      <c r="AV15" s="460">
        <f t="shared" si="12"/>
        <v>7067990.5412681401</v>
      </c>
      <c r="AX15" s="458">
        <f t="shared" si="13"/>
        <v>600779.19000000006</v>
      </c>
    </row>
    <row r="16" spans="1:50" ht="14">
      <c r="A16" s="402" t="s">
        <v>659</v>
      </c>
      <c r="B16" s="403">
        <v>15031812</v>
      </c>
      <c r="C16" s="402" t="s">
        <v>707</v>
      </c>
      <c r="D16" s="402" t="s">
        <v>688</v>
      </c>
      <c r="E16" s="413">
        <v>6835.2</v>
      </c>
      <c r="F16" s="423">
        <v>7334.21</v>
      </c>
      <c r="G16" s="437">
        <v>8062.28</v>
      </c>
      <c r="H16" s="449">
        <v>9468.69</v>
      </c>
      <c r="I16" s="450">
        <v>6093.24</v>
      </c>
      <c r="J16" s="453">
        <v>5230.2700000000004</v>
      </c>
      <c r="K16" s="463">
        <v>4112.58</v>
      </c>
      <c r="L16" s="463">
        <v>4936.4399999999996</v>
      </c>
      <c r="M16" s="468">
        <v>9955.23</v>
      </c>
      <c r="N16" s="471">
        <v>11920.71</v>
      </c>
      <c r="O16" s="474">
        <v>12526.6</v>
      </c>
      <c r="P16" s="477">
        <v>16747.54</v>
      </c>
      <c r="Q16" s="412">
        <f t="shared" si="4"/>
        <v>60199.1</v>
      </c>
      <c r="R16" s="456">
        <f t="shared" si="2"/>
        <v>10033.183333333332</v>
      </c>
      <c r="T16" s="9">
        <f t="shared" si="5"/>
        <v>0</v>
      </c>
      <c r="U16" s="9">
        <f t="shared" si="3"/>
        <v>0</v>
      </c>
      <c r="V16" s="9">
        <f t="shared" si="3"/>
        <v>0</v>
      </c>
      <c r="W16" s="9">
        <f t="shared" si="3"/>
        <v>0</v>
      </c>
      <c r="X16" s="9">
        <f t="shared" si="3"/>
        <v>0</v>
      </c>
      <c r="Y16" s="9">
        <f t="shared" si="3"/>
        <v>0</v>
      </c>
      <c r="Z16" s="9">
        <f t="shared" si="3"/>
        <v>0</v>
      </c>
      <c r="AA16" s="9">
        <f t="shared" si="3"/>
        <v>0</v>
      </c>
      <c r="AB16" s="9">
        <f t="shared" si="3"/>
        <v>0</v>
      </c>
      <c r="AC16" s="9">
        <f t="shared" si="3"/>
        <v>0</v>
      </c>
      <c r="AD16" s="9">
        <f t="shared" si="3"/>
        <v>0</v>
      </c>
      <c r="AE16" s="9">
        <f t="shared" si="3"/>
        <v>60199.1</v>
      </c>
      <c r="AF16" s="9">
        <f t="shared" si="3"/>
        <v>0</v>
      </c>
      <c r="AG16" s="9">
        <f t="shared" si="3"/>
        <v>0</v>
      </c>
      <c r="AH16" s="9">
        <f t="shared" si="3"/>
        <v>0</v>
      </c>
      <c r="AI16" s="9">
        <f t="shared" si="3"/>
        <v>0</v>
      </c>
      <c r="AK16" s="412">
        <f t="shared" si="6"/>
        <v>60199.1</v>
      </c>
      <c r="AL16" s="412">
        <f t="shared" si="7"/>
        <v>-60199.1</v>
      </c>
      <c r="AM16" t="s">
        <v>705</v>
      </c>
      <c r="AN16" s="458">
        <f>+AH2</f>
        <v>328073.83</v>
      </c>
      <c r="AO16" s="456">
        <f t="shared" si="8"/>
        <v>3859692.1562439804</v>
      </c>
      <c r="AP16" s="456">
        <f t="shared" si="9"/>
        <v>328073.83328073838</v>
      </c>
      <c r="AR16" s="458">
        <f>+'2020'!AS118</f>
        <v>285350.99</v>
      </c>
      <c r="AS16" s="456">
        <f t="shared" si="10"/>
        <v>3357070.5041589402</v>
      </c>
      <c r="AT16" s="456">
        <f t="shared" si="11"/>
        <v>285350.99285350996</v>
      </c>
      <c r="AV16" s="460">
        <f t="shared" si="12"/>
        <v>7216762.6604029201</v>
      </c>
      <c r="AX16" s="458">
        <f t="shared" si="13"/>
        <v>613424.82000000007</v>
      </c>
    </row>
    <row r="17" spans="1:50" ht="14">
      <c r="A17" s="402" t="s">
        <v>537</v>
      </c>
      <c r="B17" s="403">
        <v>15061966</v>
      </c>
      <c r="C17" s="402"/>
      <c r="D17" s="402" t="s">
        <v>889</v>
      </c>
      <c r="E17" s="413">
        <v>6019.9</v>
      </c>
      <c r="F17" s="423">
        <v>6328.93</v>
      </c>
      <c r="G17" s="437">
        <v>7449.5</v>
      </c>
      <c r="H17" s="449">
        <v>7650.38</v>
      </c>
      <c r="I17" s="450">
        <v>7064.56</v>
      </c>
      <c r="J17" s="453">
        <v>5706.45</v>
      </c>
      <c r="K17" s="461">
        <v>5294.94</v>
      </c>
      <c r="L17" s="463">
        <v>5442.88</v>
      </c>
      <c r="M17" s="468">
        <v>8342.99</v>
      </c>
      <c r="N17" s="471">
        <v>11417.59</v>
      </c>
      <c r="O17" s="474">
        <v>11491.97</v>
      </c>
      <c r="P17" s="477">
        <v>13760.34</v>
      </c>
      <c r="Q17" s="412">
        <f t="shared" si="4"/>
        <v>55750.709999999992</v>
      </c>
      <c r="R17" s="456">
        <f t="shared" si="2"/>
        <v>9291.784999999998</v>
      </c>
      <c r="T17" s="9">
        <f t="shared" si="5"/>
        <v>0</v>
      </c>
      <c r="U17" s="9">
        <f t="shared" si="3"/>
        <v>55750.709999999992</v>
      </c>
      <c r="V17" s="9">
        <f t="shared" si="3"/>
        <v>0</v>
      </c>
      <c r="W17" s="9">
        <f t="shared" si="3"/>
        <v>0</v>
      </c>
      <c r="X17" s="9">
        <f t="shared" si="3"/>
        <v>0</v>
      </c>
      <c r="Y17" s="9">
        <f t="shared" si="3"/>
        <v>0</v>
      </c>
      <c r="Z17" s="9">
        <f t="shared" si="3"/>
        <v>0</v>
      </c>
      <c r="AA17" s="9">
        <f t="shared" si="3"/>
        <v>0</v>
      </c>
      <c r="AB17" s="9">
        <f t="shared" si="3"/>
        <v>0</v>
      </c>
      <c r="AC17" s="9">
        <f t="shared" si="3"/>
        <v>0</v>
      </c>
      <c r="AD17" s="9">
        <f t="shared" si="3"/>
        <v>0</v>
      </c>
      <c r="AE17" s="9">
        <f t="shared" si="3"/>
        <v>0</v>
      </c>
      <c r="AF17" s="9">
        <f t="shared" si="3"/>
        <v>0</v>
      </c>
      <c r="AG17" s="9">
        <f t="shared" si="3"/>
        <v>0</v>
      </c>
      <c r="AH17" s="9">
        <f t="shared" si="3"/>
        <v>0</v>
      </c>
      <c r="AI17" s="9">
        <f t="shared" si="3"/>
        <v>0</v>
      </c>
      <c r="AK17" s="412">
        <f t="shared" si="6"/>
        <v>55750.709999999992</v>
      </c>
      <c r="AL17" s="412">
        <f t="shared" si="7"/>
        <v>-55750.709999999992</v>
      </c>
      <c r="AM17" t="s">
        <v>965</v>
      </c>
      <c r="AN17" s="458">
        <f>+SUM(AN6:AN16)</f>
        <v>5507413.6600000011</v>
      </c>
      <c r="AO17" s="458">
        <f>+SUM(AO6:AO16)</f>
        <v>64793102.530283965</v>
      </c>
      <c r="AP17" s="458">
        <f>+SUM(AP6:AP16)</f>
        <v>5507413.7150741369</v>
      </c>
      <c r="AR17" s="458">
        <f>+SUM(AR6:AR16)</f>
        <v>3490503.6900000004</v>
      </c>
      <c r="AS17" s="458">
        <f>+SUM(AS6:AS16)</f>
        <v>41064749.704765141</v>
      </c>
      <c r="AT17" s="458">
        <f>+SUM(AT6:AT16)</f>
        <v>3490503.7249050373</v>
      </c>
      <c r="AV17" s="458">
        <f>+SUM(AV6:AV16)</f>
        <v>105857852.2350491</v>
      </c>
      <c r="AX17" s="458">
        <f>+SUM(AX7:AX16)</f>
        <v>8997917.3500000015</v>
      </c>
    </row>
    <row r="18" spans="1:50" ht="14">
      <c r="A18" s="402" t="s">
        <v>659</v>
      </c>
      <c r="B18" s="403">
        <v>15065882</v>
      </c>
      <c r="C18" s="402" t="s">
        <v>234</v>
      </c>
      <c r="D18" s="402" t="s">
        <v>234</v>
      </c>
      <c r="E18" s="413">
        <v>7579.07</v>
      </c>
      <c r="F18" s="423">
        <v>6661.98</v>
      </c>
      <c r="H18" s="449">
        <v>5848.38</v>
      </c>
      <c r="I18" s="453">
        <v>3952.08</v>
      </c>
      <c r="J18" s="453">
        <v>4262.33</v>
      </c>
      <c r="K18" s="461">
        <v>4607.57</v>
      </c>
      <c r="L18" s="463">
        <v>5482.91</v>
      </c>
      <c r="M18" s="474">
        <v>6812.48</v>
      </c>
      <c r="N18" s="471">
        <v>8097.89</v>
      </c>
      <c r="O18" s="474">
        <v>9120.2099999999991</v>
      </c>
      <c r="P18" s="477">
        <v>11759.32</v>
      </c>
      <c r="Q18" s="412">
        <f t="shared" si="4"/>
        <v>45880.38</v>
      </c>
      <c r="R18" s="456">
        <f t="shared" si="2"/>
        <v>7646.73</v>
      </c>
      <c r="T18" s="9">
        <f t="shared" si="5"/>
        <v>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9">
        <f t="shared" si="3"/>
        <v>0</v>
      </c>
      <c r="Y18" s="9">
        <f t="shared" si="3"/>
        <v>0</v>
      </c>
      <c r="Z18" s="9">
        <f t="shared" si="3"/>
        <v>0</v>
      </c>
      <c r="AA18" s="9">
        <f t="shared" si="3"/>
        <v>0</v>
      </c>
      <c r="AB18" s="9">
        <f t="shared" si="3"/>
        <v>0</v>
      </c>
      <c r="AC18" s="9">
        <f t="shared" si="3"/>
        <v>0</v>
      </c>
      <c r="AD18" s="9">
        <f t="shared" si="3"/>
        <v>0</v>
      </c>
      <c r="AE18" s="9">
        <f t="shared" si="3"/>
        <v>45880.38</v>
      </c>
      <c r="AF18" s="9">
        <f t="shared" si="3"/>
        <v>0</v>
      </c>
      <c r="AG18" s="9">
        <f t="shared" si="3"/>
        <v>0</v>
      </c>
      <c r="AH18" s="9">
        <f t="shared" si="3"/>
        <v>0</v>
      </c>
      <c r="AI18" s="9">
        <f t="shared" si="3"/>
        <v>0</v>
      </c>
      <c r="AK18" s="412">
        <f t="shared" si="6"/>
        <v>45880.38</v>
      </c>
      <c r="AL18" s="412">
        <f t="shared" si="7"/>
        <v>-45880.38</v>
      </c>
      <c r="AN18" s="458"/>
      <c r="AR18" s="458"/>
      <c r="AV18" s="456"/>
    </row>
    <row r="19" spans="1:50" ht="14">
      <c r="A19" s="402" t="s">
        <v>530</v>
      </c>
      <c r="B19" s="403">
        <v>15066432</v>
      </c>
      <c r="C19" s="402"/>
      <c r="D19" s="402" t="s">
        <v>922</v>
      </c>
      <c r="E19" s="413">
        <v>5810.36</v>
      </c>
      <c r="F19" s="423">
        <v>6447.08</v>
      </c>
      <c r="G19" s="437">
        <v>7197.99</v>
      </c>
      <c r="H19" s="449">
        <v>8264.42</v>
      </c>
      <c r="I19" s="450">
        <v>5913.1</v>
      </c>
      <c r="J19" s="453">
        <v>5234.7700000000004</v>
      </c>
      <c r="K19" s="463">
        <v>4251.3</v>
      </c>
      <c r="L19" s="463">
        <v>6725.19</v>
      </c>
      <c r="M19" s="468">
        <v>10197.629999999999</v>
      </c>
      <c r="N19" s="471">
        <v>14448.82</v>
      </c>
      <c r="O19" s="474">
        <v>15129.92</v>
      </c>
      <c r="P19" s="477">
        <v>20272.71</v>
      </c>
      <c r="Q19" s="412">
        <f t="shared" si="4"/>
        <v>71025.570000000007</v>
      </c>
      <c r="R19" s="456">
        <f t="shared" si="2"/>
        <v>11837.595000000001</v>
      </c>
      <c r="T19" s="9">
        <f t="shared" si="5"/>
        <v>0</v>
      </c>
      <c r="U19" s="9">
        <f t="shared" si="3"/>
        <v>0</v>
      </c>
      <c r="V19" s="9">
        <f t="shared" si="3"/>
        <v>0</v>
      </c>
      <c r="W19" s="9">
        <f t="shared" si="3"/>
        <v>0</v>
      </c>
      <c r="X19" s="9">
        <f t="shared" si="3"/>
        <v>0</v>
      </c>
      <c r="Y19" s="9">
        <f t="shared" si="3"/>
        <v>71025.570000000007</v>
      </c>
      <c r="Z19" s="9">
        <f t="shared" si="3"/>
        <v>0</v>
      </c>
      <c r="AA19" s="9">
        <f t="shared" si="3"/>
        <v>0</v>
      </c>
      <c r="AB19" s="9">
        <f t="shared" si="3"/>
        <v>0</v>
      </c>
      <c r="AC19" s="9">
        <f t="shared" si="3"/>
        <v>0</v>
      </c>
      <c r="AD19" s="9">
        <f t="shared" si="3"/>
        <v>0</v>
      </c>
      <c r="AE19" s="9">
        <f t="shared" si="3"/>
        <v>0</v>
      </c>
      <c r="AF19" s="9">
        <f t="shared" si="3"/>
        <v>0</v>
      </c>
      <c r="AG19" s="9">
        <f t="shared" si="3"/>
        <v>0</v>
      </c>
      <c r="AH19" s="9">
        <f t="shared" si="3"/>
        <v>0</v>
      </c>
      <c r="AI19" s="9">
        <f t="shared" si="3"/>
        <v>0</v>
      </c>
      <c r="AK19" s="412">
        <f t="shared" si="6"/>
        <v>71025.570000000007</v>
      </c>
      <c r="AL19" s="412">
        <f t="shared" si="7"/>
        <v>-71025.570000000007</v>
      </c>
      <c r="AR19" s="460"/>
      <c r="AV19" s="456"/>
      <c r="AX19" s="458"/>
    </row>
    <row r="20" spans="1:50" ht="14">
      <c r="A20" s="402" t="s">
        <v>535</v>
      </c>
      <c r="B20" s="403">
        <v>15059166</v>
      </c>
      <c r="C20" s="402" t="s">
        <v>851</v>
      </c>
      <c r="D20" s="402" t="s">
        <v>852</v>
      </c>
      <c r="E20" s="413">
        <v>9596.99</v>
      </c>
      <c r="F20" s="423">
        <v>11053.36</v>
      </c>
      <c r="G20" s="437">
        <v>11380.95</v>
      </c>
      <c r="H20" s="449">
        <v>17575.22</v>
      </c>
      <c r="I20" s="450">
        <v>10113.67</v>
      </c>
      <c r="J20" s="453">
        <v>7292.77</v>
      </c>
      <c r="K20" s="463">
        <v>6892.17</v>
      </c>
      <c r="L20" s="463">
        <v>6749.37</v>
      </c>
      <c r="M20" s="468">
        <v>12491.14</v>
      </c>
      <c r="N20" s="471">
        <v>19822.25</v>
      </c>
      <c r="O20" s="474">
        <v>18307.63</v>
      </c>
      <c r="P20" s="477">
        <v>28531.91</v>
      </c>
      <c r="Q20" s="412">
        <f t="shared" si="4"/>
        <v>92794.47</v>
      </c>
      <c r="R20" s="456">
        <f t="shared" si="2"/>
        <v>15465.745000000001</v>
      </c>
      <c r="T20" s="9">
        <f t="shared" si="5"/>
        <v>0</v>
      </c>
      <c r="U20" s="9">
        <f t="shared" si="5"/>
        <v>0</v>
      </c>
      <c r="V20" s="9">
        <f t="shared" si="5"/>
        <v>0</v>
      </c>
      <c r="W20" s="9">
        <f t="shared" si="5"/>
        <v>0</v>
      </c>
      <c r="X20" s="9">
        <f t="shared" si="5"/>
        <v>0</v>
      </c>
      <c r="Y20" s="9">
        <f t="shared" si="5"/>
        <v>0</v>
      </c>
      <c r="Z20" s="9">
        <f t="shared" si="5"/>
        <v>0</v>
      </c>
      <c r="AA20" s="9">
        <f t="shared" si="5"/>
        <v>92794.47</v>
      </c>
      <c r="AB20" s="9">
        <f t="shared" si="5"/>
        <v>0</v>
      </c>
      <c r="AC20" s="9">
        <f t="shared" si="5"/>
        <v>0</v>
      </c>
      <c r="AD20" s="9">
        <f t="shared" si="5"/>
        <v>0</v>
      </c>
      <c r="AE20" s="9">
        <f t="shared" si="5"/>
        <v>0</v>
      </c>
      <c r="AF20" s="9">
        <f t="shared" si="5"/>
        <v>0</v>
      </c>
      <c r="AG20" s="9">
        <f t="shared" si="5"/>
        <v>0</v>
      </c>
      <c r="AH20" s="9">
        <f t="shared" si="5"/>
        <v>0</v>
      </c>
      <c r="AI20" s="9">
        <f t="shared" si="5"/>
        <v>0</v>
      </c>
      <c r="AK20" s="412">
        <f t="shared" si="6"/>
        <v>92794.47</v>
      </c>
      <c r="AL20" s="412">
        <f t="shared" si="7"/>
        <v>-92794.47</v>
      </c>
      <c r="AR20" s="456"/>
      <c r="AV20" s="456"/>
    </row>
    <row r="21" spans="1:50" ht="14">
      <c r="A21" s="402" t="s">
        <v>537</v>
      </c>
      <c r="B21" s="403">
        <v>15036832</v>
      </c>
      <c r="C21" s="402" t="s">
        <v>504</v>
      </c>
      <c r="D21" s="402" t="s">
        <v>504</v>
      </c>
      <c r="E21" s="413">
        <v>6888.26</v>
      </c>
      <c r="F21" s="423">
        <v>9298.2099999999991</v>
      </c>
      <c r="G21" s="437">
        <v>10500.01</v>
      </c>
      <c r="H21" s="449">
        <v>12665.14</v>
      </c>
      <c r="I21" s="450">
        <v>10280.92</v>
      </c>
      <c r="J21" s="453">
        <v>6083.08</v>
      </c>
      <c r="K21" s="463">
        <v>7835.42</v>
      </c>
      <c r="L21" s="463">
        <v>7250.96</v>
      </c>
      <c r="M21" s="468">
        <v>10975.7</v>
      </c>
      <c r="N21" s="471">
        <v>19615.11</v>
      </c>
      <c r="O21" s="474">
        <v>17759.310000000001</v>
      </c>
      <c r="P21" s="477">
        <v>22886.65</v>
      </c>
      <c r="Q21" s="412">
        <f t="shared" si="4"/>
        <v>86323.15</v>
      </c>
      <c r="R21" s="456">
        <f t="shared" si="2"/>
        <v>14387.191666666666</v>
      </c>
      <c r="T21" s="9">
        <f t="shared" si="5"/>
        <v>0</v>
      </c>
      <c r="U21" s="9">
        <f t="shared" si="5"/>
        <v>86323.15</v>
      </c>
      <c r="V21" s="9">
        <f t="shared" si="5"/>
        <v>0</v>
      </c>
      <c r="W21" s="9">
        <f t="shared" si="5"/>
        <v>0</v>
      </c>
      <c r="X21" s="9">
        <f t="shared" si="5"/>
        <v>0</v>
      </c>
      <c r="Y21" s="9">
        <f t="shared" si="5"/>
        <v>0</v>
      </c>
      <c r="Z21" s="9">
        <f t="shared" si="5"/>
        <v>0</v>
      </c>
      <c r="AA21" s="9">
        <f t="shared" si="5"/>
        <v>0</v>
      </c>
      <c r="AB21" s="9">
        <f t="shared" si="5"/>
        <v>0</v>
      </c>
      <c r="AC21" s="9">
        <f t="shared" si="5"/>
        <v>0</v>
      </c>
      <c r="AD21" s="9">
        <f t="shared" si="5"/>
        <v>0</v>
      </c>
      <c r="AE21" s="9">
        <f t="shared" si="5"/>
        <v>0</v>
      </c>
      <c r="AF21" s="9">
        <f t="shared" si="5"/>
        <v>0</v>
      </c>
      <c r="AG21" s="9">
        <f t="shared" si="5"/>
        <v>0</v>
      </c>
      <c r="AH21" s="9">
        <f t="shared" si="5"/>
        <v>0</v>
      </c>
      <c r="AI21" s="9">
        <f t="shared" si="5"/>
        <v>0</v>
      </c>
      <c r="AK21" s="412">
        <f t="shared" si="6"/>
        <v>86323.15</v>
      </c>
      <c r="AL21" s="412">
        <f t="shared" si="7"/>
        <v>-86323.15</v>
      </c>
    </row>
    <row r="22" spans="1:50" ht="14">
      <c r="A22" s="402" t="s">
        <v>533</v>
      </c>
      <c r="B22" s="403">
        <v>15007853</v>
      </c>
      <c r="C22" s="402" t="s">
        <v>632</v>
      </c>
      <c r="D22" s="402" t="s">
        <v>238</v>
      </c>
      <c r="E22" s="413">
        <v>3049.13</v>
      </c>
      <c r="F22" s="423">
        <v>3210.33</v>
      </c>
      <c r="G22" s="437">
        <v>3007.89</v>
      </c>
      <c r="H22" s="450">
        <v>2247.9899999999998</v>
      </c>
      <c r="I22" s="450">
        <v>2302.8000000000002</v>
      </c>
      <c r="J22" s="453">
        <v>1546.87</v>
      </c>
      <c r="K22" s="463">
        <v>1985.05</v>
      </c>
      <c r="L22" s="463">
        <v>1570.88</v>
      </c>
      <c r="M22" s="468">
        <v>2939.44</v>
      </c>
      <c r="N22" s="474">
        <v>4829.32</v>
      </c>
      <c r="O22" s="474">
        <v>4510.13</v>
      </c>
      <c r="P22" s="477">
        <v>5876.44</v>
      </c>
      <c r="Q22" s="412">
        <f t="shared" si="4"/>
        <v>21711.26</v>
      </c>
      <c r="R22" s="456">
        <f t="shared" si="2"/>
        <v>3618.5433333333331</v>
      </c>
      <c r="T22" s="9">
        <f t="shared" si="5"/>
        <v>0</v>
      </c>
      <c r="U22" s="9">
        <f t="shared" si="5"/>
        <v>0</v>
      </c>
      <c r="V22" s="9">
        <f t="shared" si="5"/>
        <v>0</v>
      </c>
      <c r="W22" s="9">
        <f t="shared" si="5"/>
        <v>0</v>
      </c>
      <c r="X22" s="9">
        <f t="shared" si="5"/>
        <v>0</v>
      </c>
      <c r="Y22" s="9">
        <f t="shared" si="5"/>
        <v>0</v>
      </c>
      <c r="Z22" s="9">
        <f t="shared" si="5"/>
        <v>0</v>
      </c>
      <c r="AA22" s="9">
        <f t="shared" si="5"/>
        <v>0</v>
      </c>
      <c r="AB22" s="9">
        <f t="shared" si="5"/>
        <v>0</v>
      </c>
      <c r="AC22" s="9">
        <f t="shared" si="5"/>
        <v>21711.26</v>
      </c>
      <c r="AD22" s="9">
        <f t="shared" si="5"/>
        <v>0</v>
      </c>
      <c r="AE22" s="9">
        <f t="shared" si="5"/>
        <v>0</v>
      </c>
      <c r="AF22" s="9">
        <f t="shared" si="5"/>
        <v>0</v>
      </c>
      <c r="AG22" s="9">
        <f t="shared" si="5"/>
        <v>0</v>
      </c>
      <c r="AH22" s="9">
        <f t="shared" si="5"/>
        <v>0</v>
      </c>
      <c r="AI22" s="9">
        <f t="shared" si="5"/>
        <v>0</v>
      </c>
      <c r="AK22" s="412">
        <f t="shared" si="6"/>
        <v>21711.26</v>
      </c>
      <c r="AL22" s="412">
        <f t="shared" si="7"/>
        <v>-21711.26</v>
      </c>
    </row>
    <row r="23" spans="1:50" ht="14">
      <c r="A23" s="402" t="s">
        <v>705</v>
      </c>
      <c r="B23" s="403">
        <v>7000700</v>
      </c>
      <c r="C23" s="402" t="s">
        <v>239</v>
      </c>
      <c r="D23" s="402" t="s">
        <v>239</v>
      </c>
      <c r="E23" s="413">
        <v>1278.6500000000001</v>
      </c>
      <c r="F23" s="423">
        <v>1300.5</v>
      </c>
      <c r="G23" s="437">
        <v>1252.05</v>
      </c>
      <c r="H23" s="449">
        <v>1037.29</v>
      </c>
      <c r="I23" s="450">
        <v>989.83</v>
      </c>
      <c r="J23" s="453">
        <v>922.25</v>
      </c>
      <c r="K23" s="461">
        <v>1003</v>
      </c>
      <c r="L23" s="463">
        <v>711.88</v>
      </c>
      <c r="M23" s="468">
        <v>940.01</v>
      </c>
      <c r="N23" s="471">
        <v>1196</v>
      </c>
      <c r="O23" s="474">
        <v>1108.49</v>
      </c>
      <c r="P23" s="477">
        <v>1007.25</v>
      </c>
      <c r="Q23" s="412">
        <f t="shared" si="4"/>
        <v>5966.63</v>
      </c>
      <c r="R23" s="456">
        <f t="shared" si="2"/>
        <v>994.43833333333339</v>
      </c>
      <c r="T23" s="9">
        <f t="shared" si="5"/>
        <v>0</v>
      </c>
      <c r="U23" s="9">
        <f t="shared" si="5"/>
        <v>0</v>
      </c>
      <c r="V23" s="9">
        <f t="shared" si="5"/>
        <v>0</v>
      </c>
      <c r="W23" s="9">
        <f t="shared" si="5"/>
        <v>0</v>
      </c>
      <c r="X23" s="9">
        <f t="shared" si="5"/>
        <v>0</v>
      </c>
      <c r="Y23" s="9">
        <f t="shared" si="5"/>
        <v>0</v>
      </c>
      <c r="Z23" s="9">
        <f t="shared" si="5"/>
        <v>0</v>
      </c>
      <c r="AA23" s="9">
        <f t="shared" si="5"/>
        <v>0</v>
      </c>
      <c r="AB23" s="9">
        <f t="shared" si="5"/>
        <v>0</v>
      </c>
      <c r="AC23" s="9">
        <f t="shared" si="5"/>
        <v>0</v>
      </c>
      <c r="AD23" s="9">
        <f t="shared" si="5"/>
        <v>0</v>
      </c>
      <c r="AE23" s="9">
        <f t="shared" si="5"/>
        <v>0</v>
      </c>
      <c r="AF23" s="9">
        <f t="shared" si="5"/>
        <v>0</v>
      </c>
      <c r="AG23" s="9">
        <f t="shared" si="5"/>
        <v>0</v>
      </c>
      <c r="AH23" s="9">
        <f t="shared" si="5"/>
        <v>5966.63</v>
      </c>
      <c r="AI23" s="9">
        <f t="shared" si="5"/>
        <v>0</v>
      </c>
      <c r="AK23" s="412">
        <f t="shared" si="6"/>
        <v>5966.63</v>
      </c>
      <c r="AL23" s="412">
        <f t="shared" si="7"/>
        <v>-5966.63</v>
      </c>
    </row>
    <row r="24" spans="1:50" ht="14">
      <c r="A24" s="402" t="s">
        <v>533</v>
      </c>
      <c r="B24" s="403">
        <v>15005502</v>
      </c>
      <c r="C24" s="402" t="s">
        <v>597</v>
      </c>
      <c r="D24" s="402" t="s">
        <v>506</v>
      </c>
      <c r="E24" s="413">
        <v>17601.04</v>
      </c>
      <c r="F24" s="423">
        <v>17091.72</v>
      </c>
      <c r="G24" s="437">
        <v>16663.740000000002</v>
      </c>
      <c r="H24" s="449">
        <v>16181.96</v>
      </c>
      <c r="I24" s="453">
        <v>12534.95</v>
      </c>
      <c r="J24" s="453">
        <v>11016</v>
      </c>
      <c r="K24" s="461">
        <v>11189.91</v>
      </c>
      <c r="L24" s="463">
        <v>14120.97</v>
      </c>
      <c r="M24" s="468">
        <v>20082.27</v>
      </c>
      <c r="N24" s="471">
        <v>23144.23</v>
      </c>
      <c r="O24" s="474">
        <v>25953.48</v>
      </c>
      <c r="P24" s="477">
        <v>35933.07</v>
      </c>
      <c r="Q24" s="412">
        <f t="shared" si="4"/>
        <v>130423.93</v>
      </c>
      <c r="R24" s="456">
        <f t="shared" si="2"/>
        <v>21737.321666666667</v>
      </c>
      <c r="T24" s="9">
        <f t="shared" si="5"/>
        <v>0</v>
      </c>
      <c r="U24" s="9">
        <f t="shared" si="5"/>
        <v>0</v>
      </c>
      <c r="V24" s="9">
        <f t="shared" si="5"/>
        <v>0</v>
      </c>
      <c r="W24" s="9">
        <f t="shared" si="5"/>
        <v>0</v>
      </c>
      <c r="X24" s="9">
        <f t="shared" si="5"/>
        <v>0</v>
      </c>
      <c r="Y24" s="9">
        <f t="shared" si="5"/>
        <v>0</v>
      </c>
      <c r="Z24" s="9">
        <f t="shared" si="5"/>
        <v>0</v>
      </c>
      <c r="AA24" s="9">
        <f t="shared" si="5"/>
        <v>0</v>
      </c>
      <c r="AB24" s="9">
        <f t="shared" si="5"/>
        <v>0</v>
      </c>
      <c r="AC24" s="9">
        <f t="shared" si="5"/>
        <v>130423.93</v>
      </c>
      <c r="AD24" s="9">
        <f t="shared" si="5"/>
        <v>0</v>
      </c>
      <c r="AE24" s="9">
        <f t="shared" si="5"/>
        <v>0</v>
      </c>
      <c r="AF24" s="9">
        <f t="shared" si="5"/>
        <v>0</v>
      </c>
      <c r="AG24" s="9">
        <f t="shared" si="5"/>
        <v>0</v>
      </c>
      <c r="AH24" s="9">
        <f t="shared" si="5"/>
        <v>0</v>
      </c>
      <c r="AI24" s="9">
        <f t="shared" si="5"/>
        <v>0</v>
      </c>
      <c r="AK24" s="412">
        <f t="shared" si="6"/>
        <v>130423.93</v>
      </c>
      <c r="AL24" s="412">
        <f t="shared" si="7"/>
        <v>-130423.93</v>
      </c>
    </row>
    <row r="25" spans="1:50" ht="14">
      <c r="A25" s="402" t="s">
        <v>533</v>
      </c>
      <c r="B25" s="403">
        <v>7000800</v>
      </c>
      <c r="C25" s="402" t="s">
        <v>627</v>
      </c>
      <c r="D25" s="402" t="s">
        <v>241</v>
      </c>
      <c r="E25" s="413">
        <v>5558.22</v>
      </c>
      <c r="F25" s="423">
        <v>5940.79</v>
      </c>
      <c r="G25" s="437">
        <v>5993</v>
      </c>
      <c r="H25" s="449">
        <v>5313.74</v>
      </c>
      <c r="I25" s="450">
        <v>4232.01</v>
      </c>
      <c r="J25" s="453">
        <v>4340.75</v>
      </c>
      <c r="K25" s="461">
        <v>4918.3999999999996</v>
      </c>
      <c r="L25" s="463">
        <v>4265.7</v>
      </c>
      <c r="M25" s="468">
        <v>5700.85</v>
      </c>
      <c r="N25" s="471">
        <v>6654.43</v>
      </c>
      <c r="O25" s="474">
        <v>6952.62</v>
      </c>
      <c r="P25" s="477">
        <v>6909.59</v>
      </c>
      <c r="Q25" s="412">
        <f t="shared" si="4"/>
        <v>35401.589999999997</v>
      </c>
      <c r="R25" s="456">
        <f t="shared" si="2"/>
        <v>5900.2649999999994</v>
      </c>
      <c r="T25" s="9">
        <f t="shared" si="5"/>
        <v>0</v>
      </c>
      <c r="U25" s="9">
        <f t="shared" si="5"/>
        <v>0</v>
      </c>
      <c r="V25" s="9">
        <f t="shared" si="5"/>
        <v>0</v>
      </c>
      <c r="W25" s="9">
        <f t="shared" si="5"/>
        <v>0</v>
      </c>
      <c r="X25" s="9">
        <f t="shared" si="5"/>
        <v>0</v>
      </c>
      <c r="Y25" s="9">
        <f t="shared" si="5"/>
        <v>0</v>
      </c>
      <c r="Z25" s="9">
        <f t="shared" si="5"/>
        <v>0</v>
      </c>
      <c r="AA25" s="9">
        <f t="shared" si="5"/>
        <v>0</v>
      </c>
      <c r="AB25" s="9">
        <f t="shared" si="5"/>
        <v>0</v>
      </c>
      <c r="AC25" s="9">
        <f t="shared" si="5"/>
        <v>35401.589999999997</v>
      </c>
      <c r="AD25" s="9">
        <f t="shared" si="5"/>
        <v>0</v>
      </c>
      <c r="AE25" s="9">
        <f t="shared" si="5"/>
        <v>0</v>
      </c>
      <c r="AF25" s="9">
        <f t="shared" si="5"/>
        <v>0</v>
      </c>
      <c r="AG25" s="9">
        <f t="shared" si="5"/>
        <v>0</v>
      </c>
      <c r="AH25" s="9">
        <f t="shared" si="5"/>
        <v>0</v>
      </c>
      <c r="AI25" s="9">
        <f t="shared" si="5"/>
        <v>0</v>
      </c>
      <c r="AK25" s="412">
        <f t="shared" si="6"/>
        <v>35401.589999999997</v>
      </c>
      <c r="AL25" s="412">
        <f t="shared" si="7"/>
        <v>-35401.589999999997</v>
      </c>
    </row>
    <row r="26" spans="1:50" ht="14">
      <c r="A26" s="402" t="s">
        <v>535</v>
      </c>
      <c r="B26" s="404">
        <v>15066411</v>
      </c>
      <c r="C26" s="405" t="s">
        <v>259</v>
      </c>
      <c r="D26" s="405" t="s">
        <v>384</v>
      </c>
      <c r="E26" s="413">
        <v>17905.2</v>
      </c>
      <c r="F26" s="423">
        <v>18264.759999999998</v>
      </c>
      <c r="G26" s="437">
        <v>17410.78</v>
      </c>
      <c r="H26" s="450">
        <v>27676.880000000001</v>
      </c>
      <c r="I26" s="453">
        <v>19931.900000000001</v>
      </c>
      <c r="J26" s="453">
        <v>11848.49</v>
      </c>
      <c r="K26" s="461">
        <v>12636.53</v>
      </c>
      <c r="L26" s="463">
        <v>12380.93</v>
      </c>
      <c r="M26" s="471">
        <v>22857.71</v>
      </c>
      <c r="N26" s="471">
        <v>29932.18</v>
      </c>
      <c r="O26" s="474">
        <v>37946.199999999997</v>
      </c>
      <c r="P26" s="477">
        <v>53658.67</v>
      </c>
      <c r="Q26" s="412">
        <f t="shared" si="4"/>
        <v>169412.22</v>
      </c>
      <c r="R26" s="456">
        <f t="shared" si="2"/>
        <v>28235.37</v>
      </c>
      <c r="T26" s="9">
        <f t="shared" si="5"/>
        <v>0</v>
      </c>
      <c r="U26" s="9">
        <f t="shared" si="5"/>
        <v>0</v>
      </c>
      <c r="V26" s="9">
        <f t="shared" si="5"/>
        <v>0</v>
      </c>
      <c r="W26" s="9">
        <f t="shared" si="5"/>
        <v>0</v>
      </c>
      <c r="X26" s="9">
        <f t="shared" si="5"/>
        <v>0</v>
      </c>
      <c r="Y26" s="9">
        <f t="shared" si="5"/>
        <v>0</v>
      </c>
      <c r="Z26" s="9">
        <f t="shared" si="5"/>
        <v>0</v>
      </c>
      <c r="AA26" s="9">
        <f t="shared" si="5"/>
        <v>169412.22</v>
      </c>
      <c r="AB26" s="9">
        <f t="shared" si="5"/>
        <v>0</v>
      </c>
      <c r="AC26" s="9">
        <f t="shared" si="5"/>
        <v>0</v>
      </c>
      <c r="AD26" s="9">
        <f t="shared" si="5"/>
        <v>0</v>
      </c>
      <c r="AE26" s="9">
        <f t="shared" si="5"/>
        <v>0</v>
      </c>
      <c r="AF26" s="9">
        <f t="shared" si="5"/>
        <v>0</v>
      </c>
      <c r="AG26" s="9">
        <f t="shared" si="5"/>
        <v>0</v>
      </c>
      <c r="AH26" s="9">
        <f t="shared" si="5"/>
        <v>0</v>
      </c>
      <c r="AI26" s="9">
        <f t="shared" si="5"/>
        <v>0</v>
      </c>
      <c r="AK26" s="412">
        <f t="shared" si="6"/>
        <v>169412.22</v>
      </c>
      <c r="AL26" s="412">
        <f t="shared" si="7"/>
        <v>-169412.22</v>
      </c>
    </row>
    <row r="27" spans="1:50" ht="14">
      <c r="A27" s="402" t="s">
        <v>658</v>
      </c>
      <c r="B27" s="403">
        <v>15062402</v>
      </c>
      <c r="C27" s="402" t="s">
        <v>242</v>
      </c>
      <c r="D27" s="402" t="s">
        <v>242</v>
      </c>
      <c r="E27" s="436">
        <f>9144.39</f>
        <v>9144.39</v>
      </c>
      <c r="F27" s="423">
        <v>11085.4</v>
      </c>
      <c r="G27" s="437">
        <v>11592.19</v>
      </c>
      <c r="H27" s="450">
        <v>10045.16</v>
      </c>
      <c r="I27" s="450">
        <v>10908.13</v>
      </c>
      <c r="J27" s="453">
        <v>10303.59</v>
      </c>
      <c r="K27" s="461">
        <v>10870.65</v>
      </c>
      <c r="L27" s="463">
        <v>9604.5</v>
      </c>
      <c r="M27" s="468">
        <v>11907.7</v>
      </c>
      <c r="N27" s="471">
        <v>12498.55</v>
      </c>
      <c r="O27" s="474">
        <v>11004.85</v>
      </c>
      <c r="P27" s="477">
        <v>10636.99</v>
      </c>
      <c r="Q27" s="412">
        <f t="shared" si="4"/>
        <v>66523.240000000005</v>
      </c>
      <c r="R27" s="456">
        <f t="shared" si="2"/>
        <v>11087.206666666667</v>
      </c>
      <c r="T27" s="9">
        <f t="shared" si="5"/>
        <v>0</v>
      </c>
      <c r="U27" s="9">
        <f t="shared" si="5"/>
        <v>0</v>
      </c>
      <c r="V27" s="9">
        <f t="shared" si="5"/>
        <v>0</v>
      </c>
      <c r="W27" s="9">
        <f t="shared" si="5"/>
        <v>0</v>
      </c>
      <c r="X27" s="9">
        <f t="shared" si="5"/>
        <v>0</v>
      </c>
      <c r="Y27" s="9">
        <f t="shared" si="5"/>
        <v>0</v>
      </c>
      <c r="Z27" s="9">
        <f t="shared" si="5"/>
        <v>0</v>
      </c>
      <c r="AA27" s="9">
        <f t="shared" si="5"/>
        <v>0</v>
      </c>
      <c r="AB27" s="9">
        <f t="shared" si="5"/>
        <v>66523.240000000005</v>
      </c>
      <c r="AC27" s="9">
        <f t="shared" si="5"/>
        <v>0</v>
      </c>
      <c r="AD27" s="9">
        <f t="shared" si="5"/>
        <v>0</v>
      </c>
      <c r="AE27" s="9">
        <f t="shared" si="5"/>
        <v>0</v>
      </c>
      <c r="AF27" s="9">
        <f t="shared" si="5"/>
        <v>0</v>
      </c>
      <c r="AG27" s="9">
        <f t="shared" si="5"/>
        <v>0</v>
      </c>
      <c r="AH27" s="9">
        <f t="shared" si="5"/>
        <v>0</v>
      </c>
      <c r="AI27" s="9">
        <f t="shared" si="5"/>
        <v>0</v>
      </c>
      <c r="AK27" s="412">
        <f t="shared" si="6"/>
        <v>66523.240000000005</v>
      </c>
      <c r="AL27" s="412">
        <f t="shared" si="7"/>
        <v>-66523.240000000005</v>
      </c>
    </row>
    <row r="28" spans="1:50" ht="14">
      <c r="A28" s="402" t="s">
        <v>705</v>
      </c>
      <c r="B28" s="403">
        <v>15062403</v>
      </c>
      <c r="C28" s="402"/>
      <c r="D28" s="402" t="s">
        <v>890</v>
      </c>
      <c r="E28" s="413">
        <v>6518.29</v>
      </c>
      <c r="F28" s="423">
        <v>6203.62</v>
      </c>
      <c r="G28" s="437">
        <v>6067.14</v>
      </c>
      <c r="H28" s="450">
        <v>6159.69</v>
      </c>
      <c r="I28" s="450">
        <v>6074.33</v>
      </c>
      <c r="J28" s="453">
        <v>5874.42</v>
      </c>
      <c r="K28" s="463">
        <v>6450.92</v>
      </c>
      <c r="L28" s="463">
        <v>6275.78</v>
      </c>
      <c r="M28" s="468">
        <v>7881.78</v>
      </c>
      <c r="O28" s="474">
        <v>8561.16</v>
      </c>
      <c r="P28" s="477">
        <v>8766.1299999999992</v>
      </c>
      <c r="Q28" s="412">
        <f t="shared" si="4"/>
        <v>37935.769999999997</v>
      </c>
      <c r="R28" s="456">
        <f t="shared" si="2"/>
        <v>6322.6283333333331</v>
      </c>
      <c r="T28" s="9">
        <f t="shared" si="5"/>
        <v>0</v>
      </c>
      <c r="U28" s="9">
        <f t="shared" si="5"/>
        <v>0</v>
      </c>
      <c r="V28" s="9">
        <f t="shared" si="5"/>
        <v>0</v>
      </c>
      <c r="W28" s="9">
        <f t="shared" si="5"/>
        <v>0</v>
      </c>
      <c r="X28" s="9">
        <f t="shared" si="5"/>
        <v>0</v>
      </c>
      <c r="Y28" s="9">
        <f t="shared" si="5"/>
        <v>0</v>
      </c>
      <c r="Z28" s="9">
        <f t="shared" si="5"/>
        <v>0</v>
      </c>
      <c r="AA28" s="9">
        <f t="shared" si="5"/>
        <v>0</v>
      </c>
      <c r="AB28" s="9">
        <f t="shared" si="5"/>
        <v>0</v>
      </c>
      <c r="AC28" s="9">
        <f t="shared" si="5"/>
        <v>0</v>
      </c>
      <c r="AD28" s="9">
        <f t="shared" si="5"/>
        <v>0</v>
      </c>
      <c r="AE28" s="9">
        <f t="shared" si="5"/>
        <v>0</v>
      </c>
      <c r="AF28" s="9">
        <f t="shared" si="5"/>
        <v>0</v>
      </c>
      <c r="AG28" s="9">
        <f t="shared" si="5"/>
        <v>0</v>
      </c>
      <c r="AH28" s="9">
        <f t="shared" si="5"/>
        <v>37935.769999999997</v>
      </c>
      <c r="AI28" s="9">
        <f t="shared" si="5"/>
        <v>0</v>
      </c>
      <c r="AK28" s="412">
        <f t="shared" si="6"/>
        <v>37935.769999999997</v>
      </c>
      <c r="AL28" s="412">
        <f t="shared" si="7"/>
        <v>-37935.769999999997</v>
      </c>
    </row>
    <row r="29" spans="1:50" ht="14">
      <c r="A29" s="402" t="s">
        <v>535</v>
      </c>
      <c r="B29" s="403">
        <v>15006827</v>
      </c>
      <c r="C29" s="402" t="s">
        <v>598</v>
      </c>
      <c r="D29" s="402" t="s">
        <v>344</v>
      </c>
      <c r="E29" s="413">
        <v>11360.08</v>
      </c>
      <c r="F29" s="423">
        <v>7563.9</v>
      </c>
      <c r="G29" s="437">
        <v>12628.96</v>
      </c>
      <c r="H29" s="449">
        <v>17956.34</v>
      </c>
      <c r="I29" s="450">
        <v>5664.66</v>
      </c>
      <c r="J29" s="453">
        <v>4236.66</v>
      </c>
      <c r="K29" s="461">
        <v>4791.96</v>
      </c>
      <c r="L29" s="463">
        <v>6445.64</v>
      </c>
      <c r="M29" s="468">
        <v>10812.6</v>
      </c>
      <c r="N29" s="471">
        <v>17413.78</v>
      </c>
      <c r="O29" s="474">
        <v>19630.84</v>
      </c>
      <c r="P29" s="477">
        <v>23559.71</v>
      </c>
      <c r="Q29" s="412">
        <f t="shared" si="4"/>
        <v>82654.53</v>
      </c>
      <c r="R29" s="456">
        <f t="shared" si="2"/>
        <v>13775.754999999999</v>
      </c>
      <c r="T29" s="9">
        <f t="shared" si="5"/>
        <v>0</v>
      </c>
      <c r="U29" s="9">
        <f t="shared" si="5"/>
        <v>0</v>
      </c>
      <c r="V29" s="9">
        <f t="shared" si="5"/>
        <v>0</v>
      </c>
      <c r="W29" s="9">
        <f t="shared" si="5"/>
        <v>0</v>
      </c>
      <c r="X29" s="9">
        <f t="shared" si="5"/>
        <v>0</v>
      </c>
      <c r="Y29" s="9">
        <f t="shared" si="5"/>
        <v>0</v>
      </c>
      <c r="Z29" s="9">
        <f t="shared" si="5"/>
        <v>0</v>
      </c>
      <c r="AA29" s="9">
        <f t="shared" si="5"/>
        <v>82654.53</v>
      </c>
      <c r="AB29" s="9">
        <f t="shared" si="5"/>
        <v>0</v>
      </c>
      <c r="AC29" s="9">
        <f t="shared" si="5"/>
        <v>0</v>
      </c>
      <c r="AD29" s="9">
        <f t="shared" si="5"/>
        <v>0</v>
      </c>
      <c r="AE29" s="9">
        <f t="shared" si="5"/>
        <v>0</v>
      </c>
      <c r="AF29" s="9">
        <f t="shared" si="5"/>
        <v>0</v>
      </c>
      <c r="AG29" s="9">
        <f t="shared" si="5"/>
        <v>0</v>
      </c>
      <c r="AH29" s="9">
        <f t="shared" si="5"/>
        <v>0</v>
      </c>
      <c r="AI29" s="9">
        <f t="shared" si="5"/>
        <v>0</v>
      </c>
      <c r="AK29" s="412">
        <f t="shared" si="6"/>
        <v>82654.53</v>
      </c>
      <c r="AL29" s="412">
        <f t="shared" si="7"/>
        <v>-82654.53</v>
      </c>
    </row>
    <row r="30" spans="1:50" ht="14">
      <c r="A30" s="402" t="s">
        <v>537</v>
      </c>
      <c r="B30" s="403">
        <v>15036833</v>
      </c>
      <c r="C30" s="402" t="s">
        <v>591</v>
      </c>
      <c r="D30" s="402" t="s">
        <v>591</v>
      </c>
      <c r="E30" s="413">
        <v>4689.03</v>
      </c>
      <c r="F30" s="423">
        <v>5693.45</v>
      </c>
      <c r="G30" s="437">
        <v>5616.48</v>
      </c>
      <c r="H30" s="449">
        <v>6967.59</v>
      </c>
      <c r="I30" s="450">
        <v>4672.24</v>
      </c>
      <c r="J30" s="453">
        <v>3730.92</v>
      </c>
      <c r="K30" s="463">
        <v>3945.41</v>
      </c>
      <c r="L30" s="463">
        <v>4057.17</v>
      </c>
      <c r="M30" s="468">
        <v>6592.91</v>
      </c>
      <c r="N30" s="471">
        <v>8253.99</v>
      </c>
      <c r="O30" s="474">
        <v>8844.86</v>
      </c>
      <c r="P30" s="477">
        <v>11845.01</v>
      </c>
      <c r="Q30" s="412">
        <f t="shared" si="4"/>
        <v>43539.35</v>
      </c>
      <c r="R30" s="456">
        <f t="shared" si="2"/>
        <v>7256.5583333333334</v>
      </c>
      <c r="T30" s="9">
        <f t="shared" si="5"/>
        <v>0</v>
      </c>
      <c r="U30" s="9">
        <f t="shared" si="5"/>
        <v>43539.35</v>
      </c>
      <c r="V30" s="9">
        <f t="shared" si="5"/>
        <v>0</v>
      </c>
      <c r="W30" s="9">
        <f t="shared" si="5"/>
        <v>0</v>
      </c>
      <c r="X30" s="9">
        <f t="shared" si="5"/>
        <v>0</v>
      </c>
      <c r="Y30" s="9">
        <f t="shared" si="5"/>
        <v>0</v>
      </c>
      <c r="Z30" s="9">
        <f t="shared" si="5"/>
        <v>0</v>
      </c>
      <c r="AA30" s="9">
        <f t="shared" si="5"/>
        <v>0</v>
      </c>
      <c r="AB30" s="9">
        <f t="shared" si="5"/>
        <v>0</v>
      </c>
      <c r="AC30" s="9">
        <f t="shared" si="5"/>
        <v>0</v>
      </c>
      <c r="AD30" s="9">
        <f t="shared" si="5"/>
        <v>0</v>
      </c>
      <c r="AE30" s="9">
        <f t="shared" si="5"/>
        <v>0</v>
      </c>
      <c r="AF30" s="9">
        <f t="shared" si="5"/>
        <v>0</v>
      </c>
      <c r="AG30" s="9">
        <f t="shared" si="5"/>
        <v>0</v>
      </c>
      <c r="AH30" s="9">
        <f t="shared" si="5"/>
        <v>0</v>
      </c>
      <c r="AI30" s="9">
        <f t="shared" si="5"/>
        <v>0</v>
      </c>
      <c r="AK30" s="412">
        <f t="shared" si="6"/>
        <v>43539.35</v>
      </c>
      <c r="AL30" s="412">
        <f t="shared" si="7"/>
        <v>-43539.35</v>
      </c>
    </row>
    <row r="31" spans="1:50" ht="14">
      <c r="A31" s="402" t="s">
        <v>530</v>
      </c>
      <c r="B31" s="403">
        <v>15059799</v>
      </c>
      <c r="C31" s="402"/>
      <c r="D31" s="402" t="s">
        <v>887</v>
      </c>
      <c r="E31" s="413">
        <v>6978.92</v>
      </c>
      <c r="F31" s="423">
        <v>7066.69</v>
      </c>
      <c r="G31" s="437">
        <v>5666.59</v>
      </c>
      <c r="H31" s="449">
        <v>7335.31</v>
      </c>
      <c r="I31" s="450">
        <v>4918.1099999999997</v>
      </c>
      <c r="J31" s="453">
        <v>3580.56</v>
      </c>
      <c r="K31" s="461">
        <v>3450.62</v>
      </c>
      <c r="L31" s="463">
        <v>4713.3999999999996</v>
      </c>
      <c r="M31" s="468">
        <v>9835.67</v>
      </c>
      <c r="N31" s="471">
        <v>13819.88</v>
      </c>
      <c r="O31" s="474">
        <v>16201.05</v>
      </c>
      <c r="P31" s="477">
        <v>18040.830000000002</v>
      </c>
      <c r="Q31" s="412">
        <f t="shared" si="4"/>
        <v>66061.45</v>
      </c>
      <c r="R31" s="456">
        <f t="shared" si="2"/>
        <v>11010.241666666667</v>
      </c>
      <c r="T31" s="9">
        <f t="shared" si="5"/>
        <v>0</v>
      </c>
      <c r="U31" s="9">
        <f t="shared" si="5"/>
        <v>0</v>
      </c>
      <c r="V31" s="9">
        <f t="shared" si="5"/>
        <v>0</v>
      </c>
      <c r="W31" s="9">
        <f t="shared" si="5"/>
        <v>0</v>
      </c>
      <c r="X31" s="9">
        <f t="shared" si="5"/>
        <v>0</v>
      </c>
      <c r="Y31" s="9">
        <f t="shared" si="5"/>
        <v>66061.45</v>
      </c>
      <c r="Z31" s="9">
        <f t="shared" si="5"/>
        <v>0</v>
      </c>
      <c r="AA31" s="9">
        <f t="shared" si="5"/>
        <v>0</v>
      </c>
      <c r="AB31" s="9">
        <f t="shared" si="5"/>
        <v>0</v>
      </c>
      <c r="AC31" s="9">
        <f t="shared" si="5"/>
        <v>0</v>
      </c>
      <c r="AD31" s="9">
        <f t="shared" si="5"/>
        <v>0</v>
      </c>
      <c r="AE31" s="9">
        <f t="shared" si="5"/>
        <v>0</v>
      </c>
      <c r="AF31" s="9">
        <f t="shared" si="5"/>
        <v>0</v>
      </c>
      <c r="AG31" s="9">
        <f t="shared" si="5"/>
        <v>0</v>
      </c>
      <c r="AH31" s="9">
        <f t="shared" si="5"/>
        <v>0</v>
      </c>
      <c r="AI31" s="9">
        <f t="shared" si="5"/>
        <v>0</v>
      </c>
      <c r="AK31" s="412">
        <f t="shared" si="6"/>
        <v>66061.45</v>
      </c>
      <c r="AL31" s="412">
        <f t="shared" si="7"/>
        <v>-66061.45</v>
      </c>
    </row>
    <row r="32" spans="1:50" ht="14">
      <c r="A32" s="402" t="s">
        <v>705</v>
      </c>
      <c r="B32" s="403">
        <v>15063098</v>
      </c>
      <c r="C32" s="402"/>
      <c r="D32" s="402" t="s">
        <v>969</v>
      </c>
      <c r="H32" s="471">
        <v>118.13</v>
      </c>
      <c r="I32" s="471">
        <v>126.31</v>
      </c>
      <c r="K32" s="471">
        <v>79.22</v>
      </c>
      <c r="L32" s="439"/>
      <c r="M32" s="439"/>
      <c r="N32" s="413">
        <v>107.94</v>
      </c>
      <c r="O32" s="413">
        <v>370.61</v>
      </c>
      <c r="P32" s="439"/>
      <c r="Q32" s="412">
        <f t="shared" si="4"/>
        <v>557.77</v>
      </c>
      <c r="R32" s="456">
        <f t="shared" ref="R32:R72" si="14">+Q32/$R$2</f>
        <v>92.961666666666659</v>
      </c>
      <c r="T32" s="9">
        <f t="shared" si="5"/>
        <v>0</v>
      </c>
      <c r="U32" s="9">
        <f t="shared" si="5"/>
        <v>0</v>
      </c>
      <c r="V32" s="9">
        <f t="shared" si="5"/>
        <v>0</v>
      </c>
      <c r="W32" s="9">
        <f t="shared" si="5"/>
        <v>0</v>
      </c>
      <c r="X32" s="9">
        <f t="shared" si="5"/>
        <v>0</v>
      </c>
      <c r="Y32" s="9">
        <f t="shared" si="5"/>
        <v>0</v>
      </c>
      <c r="Z32" s="9">
        <f t="shared" si="5"/>
        <v>0</v>
      </c>
      <c r="AA32" s="9">
        <f t="shared" si="5"/>
        <v>0</v>
      </c>
      <c r="AB32" s="9">
        <f t="shared" si="5"/>
        <v>0</v>
      </c>
      <c r="AC32" s="9">
        <f t="shared" si="5"/>
        <v>0</v>
      </c>
      <c r="AD32" s="9">
        <f t="shared" si="5"/>
        <v>0</v>
      </c>
      <c r="AE32" s="9">
        <f t="shared" si="5"/>
        <v>0</v>
      </c>
      <c r="AF32" s="9">
        <f t="shared" si="5"/>
        <v>0</v>
      </c>
      <c r="AG32" s="9">
        <f t="shared" si="5"/>
        <v>0</v>
      </c>
      <c r="AH32" s="9">
        <f t="shared" si="5"/>
        <v>557.77</v>
      </c>
      <c r="AI32" s="9">
        <f t="shared" si="5"/>
        <v>0</v>
      </c>
      <c r="AK32" s="412">
        <f t="shared" si="6"/>
        <v>557.77</v>
      </c>
      <c r="AL32" s="412">
        <f t="shared" si="7"/>
        <v>-557.77</v>
      </c>
    </row>
    <row r="33" spans="1:38" ht="14">
      <c r="A33" s="402" t="s">
        <v>530</v>
      </c>
      <c r="B33" s="403">
        <v>7002501</v>
      </c>
      <c r="C33" s="402"/>
      <c r="D33" s="402" t="s">
        <v>892</v>
      </c>
      <c r="E33" s="413">
        <v>13297</v>
      </c>
      <c r="F33" s="423">
        <v>9850</v>
      </c>
      <c r="G33" s="437">
        <v>11682</v>
      </c>
      <c r="H33" s="449">
        <v>15567</v>
      </c>
      <c r="I33" s="450">
        <v>6801</v>
      </c>
      <c r="J33" s="453">
        <v>6174</v>
      </c>
      <c r="K33" s="461">
        <v>6128</v>
      </c>
      <c r="L33" s="463">
        <v>6406</v>
      </c>
      <c r="M33" s="468">
        <v>10888</v>
      </c>
      <c r="N33" s="471">
        <v>15880</v>
      </c>
      <c r="O33" s="474">
        <v>17987</v>
      </c>
      <c r="P33" s="477">
        <v>21635.439999999999</v>
      </c>
      <c r="Q33" s="412">
        <f t="shared" si="4"/>
        <v>78924.44</v>
      </c>
      <c r="R33" s="456">
        <f t="shared" si="14"/>
        <v>13154.073333333334</v>
      </c>
      <c r="T33" s="9">
        <f t="shared" si="5"/>
        <v>0</v>
      </c>
      <c r="U33" s="9">
        <f t="shared" si="5"/>
        <v>0</v>
      </c>
      <c r="V33" s="9">
        <f t="shared" si="5"/>
        <v>0</v>
      </c>
      <c r="W33" s="9">
        <f t="shared" si="5"/>
        <v>0</v>
      </c>
      <c r="X33" s="9">
        <f t="shared" si="5"/>
        <v>0</v>
      </c>
      <c r="Y33" s="9">
        <f t="shared" si="5"/>
        <v>78924.44</v>
      </c>
      <c r="Z33" s="9">
        <f t="shared" si="5"/>
        <v>0</v>
      </c>
      <c r="AA33" s="9">
        <f t="shared" si="5"/>
        <v>0</v>
      </c>
      <c r="AB33" s="9">
        <f t="shared" si="5"/>
        <v>0</v>
      </c>
      <c r="AC33" s="9">
        <f t="shared" si="5"/>
        <v>0</v>
      </c>
      <c r="AD33" s="9">
        <f t="shared" si="5"/>
        <v>0</v>
      </c>
      <c r="AE33" s="9">
        <f t="shared" si="5"/>
        <v>0</v>
      </c>
      <c r="AF33" s="9">
        <f t="shared" si="5"/>
        <v>0</v>
      </c>
      <c r="AG33" s="9">
        <f t="shared" si="5"/>
        <v>0</v>
      </c>
      <c r="AH33" s="9">
        <f t="shared" si="5"/>
        <v>0</v>
      </c>
      <c r="AI33" s="9">
        <f t="shared" si="5"/>
        <v>0</v>
      </c>
      <c r="AK33" s="412">
        <f t="shared" si="6"/>
        <v>78924.44</v>
      </c>
      <c r="AL33" s="412">
        <f t="shared" si="7"/>
        <v>-78924.44</v>
      </c>
    </row>
    <row r="34" spans="1:38" ht="14">
      <c r="A34" s="402" t="s">
        <v>659</v>
      </c>
      <c r="B34" s="403">
        <v>15056860</v>
      </c>
      <c r="C34" s="402" t="s">
        <v>565</v>
      </c>
      <c r="D34" s="402" t="s">
        <v>565</v>
      </c>
      <c r="E34" s="413">
        <v>3289.39</v>
      </c>
      <c r="F34" s="423">
        <v>3952.06</v>
      </c>
      <c r="G34" s="437">
        <v>4383.79</v>
      </c>
      <c r="H34" s="449">
        <v>4474.05</v>
      </c>
      <c r="I34" s="450">
        <v>3733.53</v>
      </c>
      <c r="J34" s="461">
        <v>2755.64</v>
      </c>
      <c r="K34" s="461">
        <v>2454.11</v>
      </c>
      <c r="L34" s="463">
        <v>2328.31</v>
      </c>
      <c r="M34" s="468">
        <v>4136.6899999999996</v>
      </c>
      <c r="N34" s="471">
        <v>6690.81</v>
      </c>
      <c r="O34" s="474">
        <v>6148.13</v>
      </c>
      <c r="P34" s="477">
        <v>7425.18</v>
      </c>
      <c r="Q34" s="412">
        <f t="shared" si="4"/>
        <v>29183.230000000003</v>
      </c>
      <c r="R34" s="456">
        <f t="shared" si="14"/>
        <v>4863.8716666666669</v>
      </c>
      <c r="T34" s="9">
        <f t="shared" si="5"/>
        <v>0</v>
      </c>
      <c r="U34" s="9">
        <f t="shared" si="5"/>
        <v>0</v>
      </c>
      <c r="V34" s="9">
        <f t="shared" si="5"/>
        <v>0</v>
      </c>
      <c r="W34" s="9">
        <f t="shared" si="5"/>
        <v>0</v>
      </c>
      <c r="X34" s="9">
        <f t="shared" si="5"/>
        <v>0</v>
      </c>
      <c r="Y34" s="9">
        <f t="shared" si="5"/>
        <v>0</v>
      </c>
      <c r="Z34" s="9">
        <f t="shared" si="5"/>
        <v>0</v>
      </c>
      <c r="AA34" s="9">
        <f t="shared" si="5"/>
        <v>0</v>
      </c>
      <c r="AB34" s="9">
        <f t="shared" si="5"/>
        <v>0</v>
      </c>
      <c r="AC34" s="9">
        <f t="shared" si="5"/>
        <v>0</v>
      </c>
      <c r="AD34" s="9">
        <f t="shared" si="5"/>
        <v>0</v>
      </c>
      <c r="AE34" s="9">
        <f t="shared" si="5"/>
        <v>29183.230000000003</v>
      </c>
      <c r="AF34" s="9">
        <f t="shared" si="5"/>
        <v>0</v>
      </c>
      <c r="AG34" s="9">
        <f t="shared" si="5"/>
        <v>0</v>
      </c>
      <c r="AH34" s="9">
        <f t="shared" si="5"/>
        <v>0</v>
      </c>
      <c r="AI34" s="9">
        <f t="shared" si="5"/>
        <v>0</v>
      </c>
      <c r="AK34" s="412">
        <f t="shared" si="6"/>
        <v>29183.230000000003</v>
      </c>
      <c r="AL34" s="412">
        <f t="shared" si="7"/>
        <v>-29183.230000000003</v>
      </c>
    </row>
    <row r="35" spans="1:38" ht="14">
      <c r="A35" s="402" t="s">
        <v>659</v>
      </c>
      <c r="B35" s="403">
        <v>15007588</v>
      </c>
      <c r="C35" s="402" t="s">
        <v>620</v>
      </c>
      <c r="D35" s="402" t="s">
        <v>667</v>
      </c>
      <c r="E35" s="413">
        <v>10761.28</v>
      </c>
      <c r="F35" s="474">
        <v>11003.38</v>
      </c>
      <c r="H35" s="449">
        <v>12523.86</v>
      </c>
      <c r="I35" s="450">
        <v>8250.6299999999992</v>
      </c>
      <c r="J35" s="453">
        <v>5823.4</v>
      </c>
      <c r="K35" s="437">
        <v>5873.85</v>
      </c>
      <c r="L35" s="437">
        <f>6645.05+15479.67</f>
        <v>22124.720000000001</v>
      </c>
      <c r="M35" s="468">
        <v>10414.01</v>
      </c>
      <c r="N35" s="450">
        <f>6931.5+9458.05</f>
        <v>16389.55</v>
      </c>
      <c r="O35" s="437">
        <v>19428</v>
      </c>
      <c r="P35" s="477">
        <v>26959.02</v>
      </c>
      <c r="Q35" s="412">
        <f t="shared" si="4"/>
        <v>101189.15000000001</v>
      </c>
      <c r="R35" s="456">
        <f t="shared" si="14"/>
        <v>16864.858333333334</v>
      </c>
      <c r="T35" s="9">
        <f t="shared" ref="T35:AI50" si="15">+IF($A35=T$3,$Q35,0)</f>
        <v>0</v>
      </c>
      <c r="U35" s="9">
        <f t="shared" si="15"/>
        <v>0</v>
      </c>
      <c r="V35" s="9">
        <f t="shared" si="15"/>
        <v>0</v>
      </c>
      <c r="W35" s="9">
        <f t="shared" si="15"/>
        <v>0</v>
      </c>
      <c r="X35" s="9">
        <f t="shared" si="15"/>
        <v>0</v>
      </c>
      <c r="Y35" s="9">
        <f t="shared" si="15"/>
        <v>0</v>
      </c>
      <c r="Z35" s="9">
        <f t="shared" si="15"/>
        <v>0</v>
      </c>
      <c r="AA35" s="9">
        <f t="shared" si="15"/>
        <v>0</v>
      </c>
      <c r="AB35" s="9">
        <f t="shared" si="15"/>
        <v>0</v>
      </c>
      <c r="AC35" s="9">
        <f t="shared" si="15"/>
        <v>0</v>
      </c>
      <c r="AD35" s="9">
        <f t="shared" si="15"/>
        <v>0</v>
      </c>
      <c r="AE35" s="9">
        <f t="shared" si="15"/>
        <v>101189.15000000001</v>
      </c>
      <c r="AF35" s="9">
        <f t="shared" si="15"/>
        <v>0</v>
      </c>
      <c r="AG35" s="9">
        <f t="shared" si="15"/>
        <v>0</v>
      </c>
      <c r="AH35" s="9">
        <f t="shared" si="15"/>
        <v>0</v>
      </c>
      <c r="AI35" s="9">
        <f t="shared" si="15"/>
        <v>0</v>
      </c>
      <c r="AK35" s="412">
        <f t="shared" si="6"/>
        <v>101189.15000000001</v>
      </c>
      <c r="AL35" s="412">
        <f t="shared" si="7"/>
        <v>-101189.15000000001</v>
      </c>
    </row>
    <row r="36" spans="1:38" ht="14">
      <c r="A36" s="402" t="s">
        <v>658</v>
      </c>
      <c r="B36" s="403">
        <v>15034969</v>
      </c>
      <c r="C36" s="402" t="s">
        <v>732</v>
      </c>
      <c r="D36" s="402" t="s">
        <v>667</v>
      </c>
      <c r="E36" s="413">
        <v>9694.5300000000007</v>
      </c>
      <c r="F36" s="423">
        <v>13342.06</v>
      </c>
      <c r="G36" s="437">
        <v>8750.24</v>
      </c>
      <c r="H36" s="449">
        <v>12116.92</v>
      </c>
      <c r="I36" s="450">
        <v>6579.43</v>
      </c>
      <c r="J36" s="453">
        <v>5410.34</v>
      </c>
      <c r="K36" s="461">
        <v>6712.54</v>
      </c>
      <c r="L36" s="463">
        <v>8587.7199999999993</v>
      </c>
      <c r="M36" s="468">
        <v>11535.86</v>
      </c>
      <c r="N36" s="471">
        <v>17325.21</v>
      </c>
      <c r="O36" s="474">
        <v>15858.45</v>
      </c>
      <c r="P36" s="477">
        <v>21184.55</v>
      </c>
      <c r="Q36" s="412">
        <f t="shared" si="4"/>
        <v>81204.33</v>
      </c>
      <c r="R36" s="456">
        <f t="shared" si="14"/>
        <v>13534.055</v>
      </c>
      <c r="T36" s="9">
        <f t="shared" si="15"/>
        <v>0</v>
      </c>
      <c r="U36" s="9">
        <f t="shared" si="15"/>
        <v>0</v>
      </c>
      <c r="V36" s="9">
        <f t="shared" si="15"/>
        <v>0</v>
      </c>
      <c r="W36" s="9">
        <f t="shared" si="15"/>
        <v>0</v>
      </c>
      <c r="X36" s="9">
        <f t="shared" si="15"/>
        <v>0</v>
      </c>
      <c r="Y36" s="9">
        <f t="shared" si="15"/>
        <v>0</v>
      </c>
      <c r="Z36" s="9">
        <f t="shared" si="15"/>
        <v>0</v>
      </c>
      <c r="AA36" s="9">
        <f t="shared" si="15"/>
        <v>0</v>
      </c>
      <c r="AB36" s="9">
        <f t="shared" si="15"/>
        <v>81204.33</v>
      </c>
      <c r="AC36" s="9">
        <f t="shared" si="15"/>
        <v>0</v>
      </c>
      <c r="AD36" s="9">
        <f t="shared" si="15"/>
        <v>0</v>
      </c>
      <c r="AE36" s="9">
        <f t="shared" si="15"/>
        <v>0</v>
      </c>
      <c r="AF36" s="9">
        <f t="shared" si="15"/>
        <v>0</v>
      </c>
      <c r="AG36" s="9">
        <f t="shared" si="15"/>
        <v>0</v>
      </c>
      <c r="AH36" s="9">
        <f t="shared" si="15"/>
        <v>0</v>
      </c>
      <c r="AI36" s="9">
        <f t="shared" si="15"/>
        <v>0</v>
      </c>
      <c r="AK36" s="412">
        <f t="shared" si="6"/>
        <v>81204.33</v>
      </c>
      <c r="AL36" s="412">
        <f t="shared" si="7"/>
        <v>-81204.33</v>
      </c>
    </row>
    <row r="37" spans="1:38" ht="14">
      <c r="A37" s="402" t="s">
        <v>951</v>
      </c>
      <c r="B37" s="403">
        <v>15053151</v>
      </c>
      <c r="C37" s="402" t="s">
        <v>714</v>
      </c>
      <c r="D37" s="402" t="s">
        <v>714</v>
      </c>
      <c r="E37" s="413">
        <v>314.06</v>
      </c>
      <c r="F37" s="423">
        <v>146.72999999999999</v>
      </c>
      <c r="G37" s="437">
        <v>365.95</v>
      </c>
      <c r="H37" s="449">
        <v>205.05</v>
      </c>
      <c r="I37" s="450">
        <v>471.86</v>
      </c>
      <c r="J37" s="453">
        <v>494.29</v>
      </c>
      <c r="L37" s="463">
        <v>138.86000000000001</v>
      </c>
      <c r="M37" s="468">
        <v>96.63</v>
      </c>
      <c r="N37" s="471">
        <v>318.63</v>
      </c>
      <c r="O37" s="474">
        <v>153.61000000000001</v>
      </c>
      <c r="P37" s="477">
        <v>483.55</v>
      </c>
      <c r="Q37" s="412">
        <f t="shared" si="4"/>
        <v>1191.28</v>
      </c>
      <c r="R37" s="456">
        <f t="shared" si="14"/>
        <v>198.54666666666665</v>
      </c>
      <c r="T37" s="9">
        <f t="shared" si="15"/>
        <v>0</v>
      </c>
      <c r="U37" s="9">
        <f t="shared" si="15"/>
        <v>0</v>
      </c>
      <c r="V37" s="9">
        <f t="shared" si="15"/>
        <v>0</v>
      </c>
      <c r="W37" s="9">
        <f t="shared" si="15"/>
        <v>0</v>
      </c>
      <c r="X37" s="9">
        <f t="shared" si="15"/>
        <v>0</v>
      </c>
      <c r="Y37" s="9">
        <f t="shared" si="15"/>
        <v>0</v>
      </c>
      <c r="Z37" s="9">
        <f t="shared" si="15"/>
        <v>0</v>
      </c>
      <c r="AA37" s="9">
        <f t="shared" si="15"/>
        <v>0</v>
      </c>
      <c r="AB37" s="9">
        <f t="shared" si="15"/>
        <v>0</v>
      </c>
      <c r="AC37" s="9">
        <f t="shared" si="15"/>
        <v>0</v>
      </c>
      <c r="AD37" s="9">
        <f t="shared" si="15"/>
        <v>0</v>
      </c>
      <c r="AE37" s="9">
        <f t="shared" si="15"/>
        <v>0</v>
      </c>
      <c r="AF37" s="9">
        <f t="shared" si="15"/>
        <v>0</v>
      </c>
      <c r="AG37" s="9">
        <f t="shared" si="15"/>
        <v>1191.28</v>
      </c>
      <c r="AH37" s="9">
        <f t="shared" si="15"/>
        <v>0</v>
      </c>
      <c r="AI37" s="9">
        <f t="shared" si="15"/>
        <v>0</v>
      </c>
      <c r="AK37" s="412">
        <f t="shared" si="6"/>
        <v>1191.28</v>
      </c>
      <c r="AL37" s="412">
        <f t="shared" si="7"/>
        <v>-1191.28</v>
      </c>
    </row>
    <row r="38" spans="1:38" ht="14">
      <c r="A38" s="402" t="s">
        <v>531</v>
      </c>
      <c r="B38" s="403">
        <v>7003500</v>
      </c>
      <c r="C38" s="402" t="s">
        <v>350</v>
      </c>
      <c r="D38" s="402" t="s">
        <v>350</v>
      </c>
      <c r="E38" s="413">
        <v>13233.65</v>
      </c>
      <c r="F38" s="423">
        <v>28403.09</v>
      </c>
      <c r="G38" s="437">
        <v>24026.44</v>
      </c>
      <c r="H38" s="449">
        <v>26574.400000000001</v>
      </c>
      <c r="I38" s="450">
        <v>20406.21</v>
      </c>
      <c r="J38" s="453">
        <v>8560.69</v>
      </c>
      <c r="K38" s="461">
        <v>10769.33</v>
      </c>
      <c r="L38" s="463">
        <v>13391.84</v>
      </c>
      <c r="M38" s="468">
        <v>27139.4</v>
      </c>
      <c r="N38" s="471">
        <v>44296.480000000003</v>
      </c>
      <c r="O38" s="474">
        <v>43179.83</v>
      </c>
      <c r="P38" s="477">
        <v>66214.58</v>
      </c>
      <c r="Q38" s="412">
        <f t="shared" si="4"/>
        <v>204991.46000000002</v>
      </c>
      <c r="R38" s="456">
        <f t="shared" si="14"/>
        <v>34165.243333333339</v>
      </c>
      <c r="T38" s="9">
        <f t="shared" si="15"/>
        <v>0</v>
      </c>
      <c r="U38" s="9">
        <f t="shared" si="15"/>
        <v>0</v>
      </c>
      <c r="V38" s="9">
        <f t="shared" si="15"/>
        <v>0</v>
      </c>
      <c r="W38" s="9">
        <f t="shared" si="15"/>
        <v>204991.46000000002</v>
      </c>
      <c r="X38" s="9">
        <f t="shared" si="15"/>
        <v>0</v>
      </c>
      <c r="Y38" s="9">
        <f t="shared" si="15"/>
        <v>0</v>
      </c>
      <c r="Z38" s="9">
        <f t="shared" si="15"/>
        <v>0</v>
      </c>
      <c r="AA38" s="9">
        <f t="shared" si="15"/>
        <v>0</v>
      </c>
      <c r="AB38" s="9">
        <f t="shared" si="15"/>
        <v>0</v>
      </c>
      <c r="AC38" s="9">
        <f t="shared" si="15"/>
        <v>0</v>
      </c>
      <c r="AD38" s="9">
        <f t="shared" si="15"/>
        <v>0</v>
      </c>
      <c r="AE38" s="9">
        <f t="shared" si="15"/>
        <v>0</v>
      </c>
      <c r="AF38" s="9">
        <f t="shared" si="15"/>
        <v>0</v>
      </c>
      <c r="AG38" s="9">
        <f t="shared" si="15"/>
        <v>0</v>
      </c>
      <c r="AH38" s="9">
        <f t="shared" si="15"/>
        <v>0</v>
      </c>
      <c r="AI38" s="9">
        <f t="shared" si="15"/>
        <v>0</v>
      </c>
      <c r="AK38" s="412">
        <f t="shared" si="6"/>
        <v>204991.46000000002</v>
      </c>
      <c r="AL38" s="412">
        <f t="shared" si="7"/>
        <v>-204991.46000000002</v>
      </c>
    </row>
    <row r="39" spans="1:38" ht="14">
      <c r="A39" s="402" t="s">
        <v>530</v>
      </c>
      <c r="B39" s="403">
        <v>15031776</v>
      </c>
      <c r="C39" s="402" t="s">
        <v>517</v>
      </c>
      <c r="D39" s="402" t="s">
        <v>247</v>
      </c>
      <c r="E39" s="413">
        <v>8634.09</v>
      </c>
      <c r="F39" s="423">
        <v>7894.6</v>
      </c>
      <c r="G39" s="437">
        <v>6922.16</v>
      </c>
      <c r="H39" s="449">
        <v>10371.1</v>
      </c>
      <c r="I39" s="454">
        <v>6231.04</v>
      </c>
      <c r="J39" s="453">
        <v>4733.49</v>
      </c>
      <c r="K39" s="461">
        <v>4709.18</v>
      </c>
      <c r="L39" s="463">
        <v>5118.22</v>
      </c>
      <c r="M39" s="468">
        <v>10419.040000000001</v>
      </c>
      <c r="N39" s="471">
        <v>16152.45</v>
      </c>
      <c r="O39" s="474">
        <v>14267.42</v>
      </c>
      <c r="P39" s="477">
        <v>19070.41</v>
      </c>
      <c r="Q39" s="412">
        <f t="shared" si="4"/>
        <v>69736.72</v>
      </c>
      <c r="R39" s="456">
        <f t="shared" si="14"/>
        <v>11622.786666666667</v>
      </c>
      <c r="T39" s="9">
        <f t="shared" si="15"/>
        <v>0</v>
      </c>
      <c r="U39" s="9">
        <f t="shared" si="15"/>
        <v>0</v>
      </c>
      <c r="V39" s="9">
        <f t="shared" si="15"/>
        <v>0</v>
      </c>
      <c r="W39" s="9">
        <f t="shared" si="15"/>
        <v>0</v>
      </c>
      <c r="X39" s="9">
        <f t="shared" si="15"/>
        <v>0</v>
      </c>
      <c r="Y39" s="9">
        <f t="shared" si="15"/>
        <v>69736.72</v>
      </c>
      <c r="Z39" s="9">
        <f t="shared" si="15"/>
        <v>0</v>
      </c>
      <c r="AA39" s="9">
        <f t="shared" si="15"/>
        <v>0</v>
      </c>
      <c r="AB39" s="9">
        <f t="shared" si="15"/>
        <v>0</v>
      </c>
      <c r="AC39" s="9">
        <f t="shared" si="15"/>
        <v>0</v>
      </c>
      <c r="AD39" s="9">
        <f t="shared" si="15"/>
        <v>0</v>
      </c>
      <c r="AE39" s="9">
        <f t="shared" si="15"/>
        <v>0</v>
      </c>
      <c r="AF39" s="9">
        <f t="shared" si="15"/>
        <v>0</v>
      </c>
      <c r="AG39" s="9">
        <f t="shared" si="15"/>
        <v>0</v>
      </c>
      <c r="AH39" s="9">
        <f t="shared" si="15"/>
        <v>0</v>
      </c>
      <c r="AI39" s="9">
        <f t="shared" si="15"/>
        <v>0</v>
      </c>
      <c r="AK39" s="412">
        <f t="shared" si="6"/>
        <v>69736.72</v>
      </c>
      <c r="AL39" s="412">
        <f t="shared" si="7"/>
        <v>-69736.72</v>
      </c>
    </row>
    <row r="40" spans="1:38" ht="14">
      <c r="A40" s="402" t="s">
        <v>658</v>
      </c>
      <c r="B40" s="403">
        <v>15054166</v>
      </c>
      <c r="C40" s="402" t="s">
        <v>671</v>
      </c>
      <c r="D40" s="402" t="s">
        <v>670</v>
      </c>
      <c r="E40" s="413">
        <v>22634.09</v>
      </c>
      <c r="F40" s="423">
        <v>29598.29</v>
      </c>
      <c r="G40" s="437">
        <v>24207.93</v>
      </c>
      <c r="H40" s="450">
        <v>25612.85</v>
      </c>
      <c r="I40" s="453">
        <v>28046.52</v>
      </c>
      <c r="J40" s="461">
        <v>13429.11</v>
      </c>
      <c r="K40" s="461">
        <v>15923.09</v>
      </c>
      <c r="L40" s="468">
        <v>17383.98</v>
      </c>
      <c r="M40" s="468">
        <v>25547.21</v>
      </c>
      <c r="N40" s="471">
        <v>32804.519999999997</v>
      </c>
      <c r="O40" s="474">
        <v>36336.39</v>
      </c>
      <c r="P40" s="477">
        <v>43363.47</v>
      </c>
      <c r="Q40" s="412">
        <f t="shared" si="4"/>
        <v>171358.65999999997</v>
      </c>
      <c r="R40" s="456">
        <f t="shared" si="14"/>
        <v>28559.776666666661</v>
      </c>
      <c r="T40" s="9">
        <f t="shared" si="15"/>
        <v>0</v>
      </c>
      <c r="U40" s="9">
        <f t="shared" si="15"/>
        <v>0</v>
      </c>
      <c r="V40" s="9">
        <f t="shared" si="15"/>
        <v>0</v>
      </c>
      <c r="W40" s="9">
        <f t="shared" si="15"/>
        <v>0</v>
      </c>
      <c r="X40" s="9">
        <f t="shared" si="15"/>
        <v>0</v>
      </c>
      <c r="Y40" s="9">
        <f t="shared" si="15"/>
        <v>0</v>
      </c>
      <c r="Z40" s="9">
        <f t="shared" si="15"/>
        <v>0</v>
      </c>
      <c r="AA40" s="9">
        <f t="shared" si="15"/>
        <v>0</v>
      </c>
      <c r="AB40" s="9">
        <f t="shared" si="15"/>
        <v>171358.65999999997</v>
      </c>
      <c r="AC40" s="9">
        <f t="shared" si="15"/>
        <v>0</v>
      </c>
      <c r="AD40" s="9">
        <f t="shared" si="15"/>
        <v>0</v>
      </c>
      <c r="AE40" s="9">
        <f t="shared" si="15"/>
        <v>0</v>
      </c>
      <c r="AF40" s="9">
        <f t="shared" si="15"/>
        <v>0</v>
      </c>
      <c r="AG40" s="9">
        <f t="shared" si="15"/>
        <v>0</v>
      </c>
      <c r="AH40" s="9">
        <f t="shared" si="15"/>
        <v>0</v>
      </c>
      <c r="AI40" s="9">
        <f t="shared" si="15"/>
        <v>0</v>
      </c>
      <c r="AK40" s="412">
        <f t="shared" si="6"/>
        <v>171358.65999999997</v>
      </c>
      <c r="AL40" s="412">
        <f t="shared" si="7"/>
        <v>-171358.65999999997</v>
      </c>
    </row>
    <row r="41" spans="1:38" ht="14">
      <c r="A41" s="402" t="s">
        <v>705</v>
      </c>
      <c r="B41" s="403">
        <v>15006999</v>
      </c>
      <c r="C41" s="402" t="s">
        <v>527</v>
      </c>
      <c r="D41" s="402" t="s">
        <v>622</v>
      </c>
      <c r="E41" s="413">
        <v>10614.68</v>
      </c>
      <c r="F41" s="423">
        <v>10181.620000000001</v>
      </c>
      <c r="G41" s="437">
        <v>13623.16</v>
      </c>
      <c r="H41" s="449">
        <v>14324.67</v>
      </c>
      <c r="I41" s="450">
        <v>10993.19</v>
      </c>
      <c r="J41" s="453">
        <v>8055.75</v>
      </c>
      <c r="K41" s="461">
        <v>8655.5499999999993</v>
      </c>
      <c r="L41" s="463">
        <v>9495.25</v>
      </c>
      <c r="M41" s="468">
        <v>13280.74</v>
      </c>
      <c r="N41" s="471">
        <v>16504.919999999998</v>
      </c>
      <c r="O41" s="474">
        <v>18696.27</v>
      </c>
      <c r="P41" s="477">
        <v>20020.830000000002</v>
      </c>
      <c r="Q41" s="412">
        <f t="shared" si="4"/>
        <v>86653.56</v>
      </c>
      <c r="R41" s="456">
        <f t="shared" si="14"/>
        <v>14442.26</v>
      </c>
      <c r="T41" s="9">
        <f t="shared" si="15"/>
        <v>0</v>
      </c>
      <c r="U41" s="9">
        <f t="shared" si="15"/>
        <v>0</v>
      </c>
      <c r="V41" s="9">
        <f t="shared" si="15"/>
        <v>0</v>
      </c>
      <c r="W41" s="9">
        <f t="shared" si="15"/>
        <v>0</v>
      </c>
      <c r="X41" s="9">
        <f t="shared" si="15"/>
        <v>0</v>
      </c>
      <c r="Y41" s="9">
        <f t="shared" si="15"/>
        <v>0</v>
      </c>
      <c r="Z41" s="9">
        <f t="shared" si="15"/>
        <v>0</v>
      </c>
      <c r="AA41" s="9">
        <f t="shared" si="15"/>
        <v>0</v>
      </c>
      <c r="AB41" s="9">
        <f t="shared" si="15"/>
        <v>0</v>
      </c>
      <c r="AC41" s="9">
        <f t="shared" si="15"/>
        <v>0</v>
      </c>
      <c r="AD41" s="9">
        <f t="shared" si="15"/>
        <v>0</v>
      </c>
      <c r="AE41" s="9">
        <f t="shared" si="15"/>
        <v>0</v>
      </c>
      <c r="AF41" s="9">
        <f t="shared" si="15"/>
        <v>0</v>
      </c>
      <c r="AG41" s="9">
        <f t="shared" si="15"/>
        <v>0</v>
      </c>
      <c r="AH41" s="9">
        <f t="shared" si="15"/>
        <v>86653.56</v>
      </c>
      <c r="AI41" s="9">
        <f t="shared" si="15"/>
        <v>0</v>
      </c>
      <c r="AK41" s="412">
        <f t="shared" si="6"/>
        <v>86653.56</v>
      </c>
      <c r="AL41" s="412">
        <f t="shared" si="7"/>
        <v>-86653.56</v>
      </c>
    </row>
    <row r="42" spans="1:38" ht="14">
      <c r="A42" s="402" t="s">
        <v>664</v>
      </c>
      <c r="B42" s="403">
        <v>7009500</v>
      </c>
      <c r="C42" s="402" t="s">
        <v>515</v>
      </c>
      <c r="D42" s="402" t="s">
        <v>515</v>
      </c>
      <c r="E42" s="413">
        <v>10438.31</v>
      </c>
      <c r="F42" s="423">
        <v>10731.58</v>
      </c>
      <c r="G42" s="437">
        <v>10671.51</v>
      </c>
      <c r="H42" s="449">
        <v>14895.14</v>
      </c>
      <c r="I42" s="450">
        <v>9061.8799999999992</v>
      </c>
      <c r="J42" s="453">
        <v>7672.49</v>
      </c>
      <c r="K42" s="461">
        <v>11196.2</v>
      </c>
      <c r="L42" s="463">
        <v>11979.97</v>
      </c>
      <c r="M42" s="468">
        <v>13232.48</v>
      </c>
      <c r="N42" s="471">
        <v>18392.32</v>
      </c>
      <c r="O42" s="474">
        <v>19162.8</v>
      </c>
      <c r="P42" s="477">
        <v>22308.67</v>
      </c>
      <c r="Q42" s="412">
        <f t="shared" si="4"/>
        <v>96272.439999999988</v>
      </c>
      <c r="R42" s="456">
        <f t="shared" si="14"/>
        <v>16045.406666666664</v>
      </c>
      <c r="T42" s="9">
        <f t="shared" si="15"/>
        <v>0</v>
      </c>
      <c r="U42" s="9">
        <f t="shared" si="15"/>
        <v>0</v>
      </c>
      <c r="V42" s="9">
        <f t="shared" si="15"/>
        <v>0</v>
      </c>
      <c r="W42" s="9">
        <f t="shared" si="15"/>
        <v>0</v>
      </c>
      <c r="X42" s="9">
        <f t="shared" si="15"/>
        <v>0</v>
      </c>
      <c r="Y42" s="9">
        <f t="shared" si="15"/>
        <v>0</v>
      </c>
      <c r="Z42" s="9">
        <f t="shared" si="15"/>
        <v>0</v>
      </c>
      <c r="AA42" s="9">
        <f t="shared" si="15"/>
        <v>0</v>
      </c>
      <c r="AB42" s="9">
        <f t="shared" si="15"/>
        <v>0</v>
      </c>
      <c r="AC42" s="9">
        <f t="shared" si="15"/>
        <v>0</v>
      </c>
      <c r="AD42" s="9">
        <f t="shared" si="15"/>
        <v>0</v>
      </c>
      <c r="AE42" s="9">
        <f t="shared" si="15"/>
        <v>0</v>
      </c>
      <c r="AF42" s="9">
        <f t="shared" si="15"/>
        <v>96272.439999999988</v>
      </c>
      <c r="AG42" s="9">
        <f t="shared" si="15"/>
        <v>0</v>
      </c>
      <c r="AH42" s="9">
        <f t="shared" si="15"/>
        <v>0</v>
      </c>
      <c r="AI42" s="9">
        <f t="shared" si="15"/>
        <v>0</v>
      </c>
      <c r="AK42" s="412">
        <f t="shared" si="6"/>
        <v>96272.439999999988</v>
      </c>
      <c r="AL42" s="412">
        <f t="shared" si="7"/>
        <v>-96272.439999999988</v>
      </c>
    </row>
    <row r="43" spans="1:38" ht="14">
      <c r="A43" s="402" t="s">
        <v>659</v>
      </c>
      <c r="B43" s="404">
        <v>15037963</v>
      </c>
      <c r="C43" s="405" t="s">
        <v>606</v>
      </c>
      <c r="D43" s="405" t="s">
        <v>605</v>
      </c>
      <c r="E43" s="413">
        <v>7470.14</v>
      </c>
      <c r="F43" s="423">
        <v>7946.68</v>
      </c>
      <c r="G43" s="437">
        <v>7408.13</v>
      </c>
      <c r="H43" s="449">
        <v>11681.43</v>
      </c>
      <c r="I43" s="450">
        <v>7272.75</v>
      </c>
      <c r="J43" s="453">
        <v>5380.67</v>
      </c>
      <c r="K43" s="461">
        <v>5907.15</v>
      </c>
      <c r="L43" s="463">
        <v>6341.08</v>
      </c>
      <c r="M43" s="468">
        <v>9699.09</v>
      </c>
      <c r="N43" s="471">
        <v>13570.67</v>
      </c>
      <c r="O43" s="474">
        <v>13257.56</v>
      </c>
      <c r="P43" s="477">
        <v>17977.34</v>
      </c>
      <c r="Q43" s="412">
        <f t="shared" si="4"/>
        <v>66752.89</v>
      </c>
      <c r="R43" s="456">
        <f t="shared" si="14"/>
        <v>11125.481666666667</v>
      </c>
      <c r="T43" s="9">
        <f t="shared" si="15"/>
        <v>0</v>
      </c>
      <c r="U43" s="9">
        <f t="shared" si="15"/>
        <v>0</v>
      </c>
      <c r="V43" s="9">
        <f t="shared" si="15"/>
        <v>0</v>
      </c>
      <c r="W43" s="9">
        <f t="shared" si="15"/>
        <v>0</v>
      </c>
      <c r="X43" s="9">
        <f t="shared" si="15"/>
        <v>0</v>
      </c>
      <c r="Y43" s="9">
        <f t="shared" si="15"/>
        <v>0</v>
      </c>
      <c r="Z43" s="9">
        <f t="shared" si="15"/>
        <v>0</v>
      </c>
      <c r="AA43" s="9">
        <f t="shared" si="15"/>
        <v>0</v>
      </c>
      <c r="AB43" s="9">
        <f t="shared" si="15"/>
        <v>0</v>
      </c>
      <c r="AC43" s="9">
        <f t="shared" si="15"/>
        <v>0</v>
      </c>
      <c r="AD43" s="9">
        <f t="shared" si="15"/>
        <v>0</v>
      </c>
      <c r="AE43" s="9">
        <f t="shared" si="15"/>
        <v>66752.89</v>
      </c>
      <c r="AF43" s="9">
        <f t="shared" si="15"/>
        <v>0</v>
      </c>
      <c r="AG43" s="9">
        <f t="shared" si="15"/>
        <v>0</v>
      </c>
      <c r="AH43" s="9">
        <f t="shared" si="15"/>
        <v>0</v>
      </c>
      <c r="AI43" s="9">
        <f t="shared" si="15"/>
        <v>0</v>
      </c>
      <c r="AK43" s="412">
        <f t="shared" si="6"/>
        <v>66752.89</v>
      </c>
      <c r="AL43" s="412">
        <f t="shared" si="7"/>
        <v>-66752.89</v>
      </c>
    </row>
    <row r="44" spans="1:38" ht="14">
      <c r="A44" s="402" t="s">
        <v>530</v>
      </c>
      <c r="B44" s="404">
        <v>15061297</v>
      </c>
      <c r="C44" s="405"/>
      <c r="D44" s="405" t="s">
        <v>854</v>
      </c>
      <c r="E44" s="413">
        <v>10250.370000000001</v>
      </c>
      <c r="F44" s="423">
        <v>9389.82</v>
      </c>
      <c r="G44" s="437">
        <v>10367.48</v>
      </c>
      <c r="H44" s="449">
        <v>11311.49</v>
      </c>
      <c r="I44" s="450">
        <v>8428.7900000000009</v>
      </c>
      <c r="J44" s="453">
        <v>5970.2</v>
      </c>
      <c r="K44" s="461">
        <v>6014.96</v>
      </c>
      <c r="L44" s="463">
        <v>6171.04</v>
      </c>
      <c r="M44" s="468">
        <v>10135.18</v>
      </c>
      <c r="N44" s="471">
        <v>12770.68</v>
      </c>
      <c r="O44" s="474">
        <v>16130.83</v>
      </c>
      <c r="P44" s="477">
        <v>20532.5</v>
      </c>
      <c r="Q44" s="412">
        <f t="shared" si="4"/>
        <v>71755.19</v>
      </c>
      <c r="R44" s="456">
        <f t="shared" si="14"/>
        <v>11959.198333333334</v>
      </c>
      <c r="T44" s="9">
        <f t="shared" si="15"/>
        <v>0</v>
      </c>
      <c r="U44" s="9">
        <f t="shared" si="15"/>
        <v>0</v>
      </c>
      <c r="V44" s="9">
        <f t="shared" si="15"/>
        <v>0</v>
      </c>
      <c r="W44" s="9">
        <f t="shared" si="15"/>
        <v>0</v>
      </c>
      <c r="X44" s="9">
        <f t="shared" si="15"/>
        <v>0</v>
      </c>
      <c r="Y44" s="9">
        <f t="shared" si="15"/>
        <v>71755.19</v>
      </c>
      <c r="Z44" s="9">
        <f t="shared" si="15"/>
        <v>0</v>
      </c>
      <c r="AA44" s="9">
        <f t="shared" si="15"/>
        <v>0</v>
      </c>
      <c r="AB44" s="9">
        <f t="shared" si="15"/>
        <v>0</v>
      </c>
      <c r="AC44" s="9">
        <f t="shared" si="15"/>
        <v>0</v>
      </c>
      <c r="AD44" s="9">
        <f t="shared" si="15"/>
        <v>0</v>
      </c>
      <c r="AE44" s="9">
        <f t="shared" si="15"/>
        <v>0</v>
      </c>
      <c r="AF44" s="9">
        <f t="shared" si="15"/>
        <v>0</v>
      </c>
      <c r="AG44" s="9">
        <f t="shared" si="15"/>
        <v>0</v>
      </c>
      <c r="AH44" s="9">
        <f t="shared" si="15"/>
        <v>0</v>
      </c>
      <c r="AI44" s="9">
        <f t="shared" si="15"/>
        <v>0</v>
      </c>
      <c r="AK44" s="412">
        <f t="shared" si="6"/>
        <v>71755.19</v>
      </c>
      <c r="AL44" s="412">
        <f t="shared" si="7"/>
        <v>-71755.19</v>
      </c>
    </row>
    <row r="45" spans="1:38" ht="14">
      <c r="A45" s="402" t="s">
        <v>658</v>
      </c>
      <c r="B45" s="403">
        <v>15058010</v>
      </c>
      <c r="C45" s="402" t="s">
        <v>715</v>
      </c>
      <c r="D45" s="402" t="s">
        <v>601</v>
      </c>
      <c r="E45" s="413">
        <v>18688.05</v>
      </c>
      <c r="F45" s="423">
        <v>19231.87</v>
      </c>
      <c r="G45" s="437">
        <v>15942.12</v>
      </c>
      <c r="H45" s="449">
        <v>18118.96</v>
      </c>
      <c r="I45" s="450">
        <v>12188.93</v>
      </c>
      <c r="J45" s="453">
        <v>11952.43</v>
      </c>
      <c r="K45" s="461">
        <v>11891.11</v>
      </c>
      <c r="L45" s="463">
        <v>11617.74</v>
      </c>
      <c r="M45" s="468">
        <v>16987.310000000001</v>
      </c>
      <c r="N45" s="471">
        <v>20863.61</v>
      </c>
      <c r="O45" s="474">
        <v>20354.55</v>
      </c>
      <c r="P45" s="477">
        <v>24287.77</v>
      </c>
      <c r="Q45" s="412">
        <f t="shared" si="4"/>
        <v>106002.09000000001</v>
      </c>
      <c r="R45" s="456">
        <f t="shared" si="14"/>
        <v>17667.015000000003</v>
      </c>
      <c r="T45" s="9">
        <f t="shared" si="15"/>
        <v>0</v>
      </c>
      <c r="U45" s="9">
        <f t="shared" si="15"/>
        <v>0</v>
      </c>
      <c r="V45" s="9">
        <f t="shared" si="15"/>
        <v>0</v>
      </c>
      <c r="W45" s="9">
        <f t="shared" si="15"/>
        <v>0</v>
      </c>
      <c r="X45" s="9">
        <f t="shared" si="15"/>
        <v>0</v>
      </c>
      <c r="Y45" s="9">
        <f t="shared" si="15"/>
        <v>0</v>
      </c>
      <c r="Z45" s="9">
        <f t="shared" si="15"/>
        <v>0</v>
      </c>
      <c r="AA45" s="9">
        <f t="shared" si="15"/>
        <v>0</v>
      </c>
      <c r="AB45" s="9">
        <f t="shared" si="15"/>
        <v>106002.09000000001</v>
      </c>
      <c r="AC45" s="9">
        <f t="shared" si="15"/>
        <v>0</v>
      </c>
      <c r="AD45" s="9">
        <f t="shared" si="15"/>
        <v>0</v>
      </c>
      <c r="AE45" s="9">
        <f t="shared" si="15"/>
        <v>0</v>
      </c>
      <c r="AF45" s="9">
        <f t="shared" si="15"/>
        <v>0</v>
      </c>
      <c r="AG45" s="9">
        <f t="shared" si="15"/>
        <v>0</v>
      </c>
      <c r="AH45" s="9">
        <f t="shared" si="15"/>
        <v>0</v>
      </c>
      <c r="AI45" s="9">
        <f t="shared" si="15"/>
        <v>0</v>
      </c>
      <c r="AK45" s="412">
        <f t="shared" si="6"/>
        <v>106002.09000000001</v>
      </c>
      <c r="AL45" s="412">
        <f t="shared" si="7"/>
        <v>-106002.09000000001</v>
      </c>
    </row>
    <row r="46" spans="1:38" ht="14">
      <c r="A46" s="402" t="s">
        <v>530</v>
      </c>
      <c r="B46" s="403">
        <v>15071136</v>
      </c>
      <c r="C46" s="402"/>
      <c r="D46" s="402" t="s">
        <v>968</v>
      </c>
      <c r="E46" s="439"/>
      <c r="F46" s="439"/>
      <c r="G46" s="439"/>
      <c r="H46" s="439"/>
      <c r="I46" s="439"/>
      <c r="J46" s="471">
        <v>2373.88</v>
      </c>
      <c r="K46" s="471">
        <v>5749.76</v>
      </c>
      <c r="L46" s="471">
        <v>5087.63</v>
      </c>
      <c r="M46" s="471">
        <v>10359.24</v>
      </c>
      <c r="N46" s="471">
        <v>15642.45</v>
      </c>
      <c r="O46" s="474">
        <v>16776.97</v>
      </c>
      <c r="P46" s="477">
        <v>21050.99</v>
      </c>
      <c r="Q46" s="412">
        <f t="shared" si="4"/>
        <v>74667.040000000008</v>
      </c>
      <c r="R46" s="456">
        <f t="shared" si="14"/>
        <v>12444.506666666668</v>
      </c>
      <c r="T46" s="9">
        <f t="shared" si="15"/>
        <v>0</v>
      </c>
      <c r="U46" s="9">
        <f t="shared" si="15"/>
        <v>0</v>
      </c>
      <c r="V46" s="9">
        <f t="shared" si="15"/>
        <v>0</v>
      </c>
      <c r="W46" s="9">
        <f t="shared" si="15"/>
        <v>0</v>
      </c>
      <c r="X46" s="9">
        <f t="shared" si="15"/>
        <v>0</v>
      </c>
      <c r="Y46" s="9">
        <f t="shared" si="15"/>
        <v>74667.040000000008</v>
      </c>
      <c r="Z46" s="9">
        <f t="shared" si="15"/>
        <v>0</v>
      </c>
      <c r="AA46" s="9">
        <f t="shared" si="15"/>
        <v>0</v>
      </c>
      <c r="AB46" s="9">
        <f t="shared" si="15"/>
        <v>0</v>
      </c>
      <c r="AC46" s="9">
        <f t="shared" si="15"/>
        <v>0</v>
      </c>
      <c r="AD46" s="9">
        <f t="shared" si="15"/>
        <v>0</v>
      </c>
      <c r="AE46" s="9">
        <f t="shared" si="15"/>
        <v>0</v>
      </c>
      <c r="AF46" s="9">
        <f t="shared" si="15"/>
        <v>0</v>
      </c>
      <c r="AG46" s="9">
        <f t="shared" si="15"/>
        <v>0</v>
      </c>
      <c r="AH46" s="9">
        <f t="shared" si="15"/>
        <v>0</v>
      </c>
      <c r="AI46" s="9">
        <f t="shared" si="15"/>
        <v>0</v>
      </c>
      <c r="AK46" s="412">
        <f t="shared" si="6"/>
        <v>74667.040000000008</v>
      </c>
      <c r="AL46" s="412">
        <f t="shared" si="7"/>
        <v>-74667.040000000008</v>
      </c>
    </row>
    <row r="47" spans="1:38" ht="14">
      <c r="A47" s="402" t="s">
        <v>951</v>
      </c>
      <c r="B47" s="403">
        <v>15055279</v>
      </c>
      <c r="C47" s="402"/>
      <c r="D47" s="402" t="s">
        <v>708</v>
      </c>
      <c r="E47" s="471">
        <v>123.2</v>
      </c>
      <c r="G47" s="471">
        <v>503.98</v>
      </c>
      <c r="H47" s="471">
        <v>133.66</v>
      </c>
      <c r="K47" s="439"/>
      <c r="L47" s="439"/>
      <c r="M47" s="439"/>
      <c r="N47" s="439"/>
      <c r="O47" s="439"/>
      <c r="P47" s="439"/>
      <c r="Q47" s="412">
        <f t="shared" si="4"/>
        <v>0</v>
      </c>
      <c r="R47" s="456">
        <f t="shared" si="14"/>
        <v>0</v>
      </c>
      <c r="T47" s="9">
        <f t="shared" si="15"/>
        <v>0</v>
      </c>
      <c r="U47" s="9">
        <f t="shared" si="15"/>
        <v>0</v>
      </c>
      <c r="V47" s="9">
        <f t="shared" si="15"/>
        <v>0</v>
      </c>
      <c r="W47" s="9">
        <f t="shared" si="15"/>
        <v>0</v>
      </c>
      <c r="X47" s="9">
        <f t="shared" si="15"/>
        <v>0</v>
      </c>
      <c r="Y47" s="9">
        <f t="shared" si="15"/>
        <v>0</v>
      </c>
      <c r="Z47" s="9">
        <f t="shared" si="15"/>
        <v>0</v>
      </c>
      <c r="AA47" s="9">
        <f t="shared" si="15"/>
        <v>0</v>
      </c>
      <c r="AB47" s="9">
        <f t="shared" si="15"/>
        <v>0</v>
      </c>
      <c r="AC47" s="9">
        <f t="shared" si="15"/>
        <v>0</v>
      </c>
      <c r="AD47" s="9">
        <f t="shared" si="15"/>
        <v>0</v>
      </c>
      <c r="AE47" s="9">
        <f t="shared" si="15"/>
        <v>0</v>
      </c>
      <c r="AF47" s="9">
        <f t="shared" si="15"/>
        <v>0</v>
      </c>
      <c r="AG47" s="9">
        <f t="shared" si="15"/>
        <v>0</v>
      </c>
      <c r="AH47" s="9">
        <f t="shared" si="15"/>
        <v>0</v>
      </c>
      <c r="AI47" s="9">
        <f t="shared" si="15"/>
        <v>0</v>
      </c>
      <c r="AK47" s="412">
        <f t="shared" si="6"/>
        <v>0</v>
      </c>
      <c r="AL47" s="412">
        <f t="shared" si="7"/>
        <v>0</v>
      </c>
    </row>
    <row r="48" spans="1:38" ht="14">
      <c r="A48" s="402" t="s">
        <v>658</v>
      </c>
      <c r="B48" s="403">
        <v>7009200</v>
      </c>
      <c r="C48" s="402" t="s">
        <v>516</v>
      </c>
      <c r="D48" s="402" t="s">
        <v>516</v>
      </c>
      <c r="E48" s="413">
        <v>9843.52</v>
      </c>
      <c r="F48" s="423">
        <v>12508.5</v>
      </c>
      <c r="G48" s="449">
        <v>12529.48</v>
      </c>
      <c r="H48" s="449">
        <v>13761.27</v>
      </c>
      <c r="I48" s="453">
        <v>12170.8</v>
      </c>
      <c r="J48" s="453">
        <v>8319.43</v>
      </c>
      <c r="K48" s="461">
        <v>9959.7199999999993</v>
      </c>
      <c r="L48" s="463">
        <v>11545.1</v>
      </c>
      <c r="M48" s="468">
        <v>14386.25</v>
      </c>
      <c r="N48" s="471">
        <v>17035.14</v>
      </c>
      <c r="O48" s="474">
        <v>19876.13</v>
      </c>
      <c r="P48" s="477">
        <v>21578.58</v>
      </c>
      <c r="Q48" s="412">
        <f t="shared" si="4"/>
        <v>94380.92</v>
      </c>
      <c r="R48" s="456">
        <f t="shared" si="14"/>
        <v>15730.153333333334</v>
      </c>
      <c r="T48" s="9">
        <f t="shared" si="15"/>
        <v>0</v>
      </c>
      <c r="U48" s="9">
        <f t="shared" si="15"/>
        <v>0</v>
      </c>
      <c r="V48" s="9">
        <f t="shared" si="15"/>
        <v>0</v>
      </c>
      <c r="W48" s="9">
        <f t="shared" si="15"/>
        <v>0</v>
      </c>
      <c r="X48" s="9">
        <f t="shared" si="15"/>
        <v>0</v>
      </c>
      <c r="Y48" s="9">
        <f t="shared" si="15"/>
        <v>0</v>
      </c>
      <c r="Z48" s="9">
        <f t="shared" si="15"/>
        <v>0</v>
      </c>
      <c r="AA48" s="9">
        <f t="shared" si="15"/>
        <v>0</v>
      </c>
      <c r="AB48" s="9">
        <f t="shared" si="15"/>
        <v>94380.92</v>
      </c>
      <c r="AC48" s="9">
        <f t="shared" si="15"/>
        <v>0</v>
      </c>
      <c r="AD48" s="9">
        <f t="shared" si="15"/>
        <v>0</v>
      </c>
      <c r="AE48" s="9">
        <f t="shared" si="15"/>
        <v>0</v>
      </c>
      <c r="AF48" s="9">
        <f t="shared" si="15"/>
        <v>0</v>
      </c>
      <c r="AG48" s="9">
        <f t="shared" si="15"/>
        <v>0</v>
      </c>
      <c r="AH48" s="9">
        <f t="shared" si="15"/>
        <v>0</v>
      </c>
      <c r="AI48" s="9">
        <f t="shared" si="15"/>
        <v>0</v>
      </c>
      <c r="AK48" s="412">
        <f t="shared" si="6"/>
        <v>94380.92</v>
      </c>
      <c r="AL48" s="412">
        <f t="shared" si="7"/>
        <v>-94380.92</v>
      </c>
    </row>
    <row r="49" spans="1:38" ht="14">
      <c r="A49" s="402" t="s">
        <v>530</v>
      </c>
      <c r="B49" s="403">
        <v>15037322</v>
      </c>
      <c r="C49" s="402" t="s">
        <v>646</v>
      </c>
      <c r="D49" s="402" t="s">
        <v>623</v>
      </c>
      <c r="E49" s="413">
        <v>14869.13</v>
      </c>
      <c r="F49" s="423">
        <v>15178.79</v>
      </c>
      <c r="G49" s="437">
        <v>14345.79</v>
      </c>
      <c r="H49" s="449">
        <v>12319.62</v>
      </c>
      <c r="I49" s="450">
        <v>9248.31</v>
      </c>
      <c r="J49" s="453">
        <v>6798.82</v>
      </c>
      <c r="K49" s="463">
        <v>8205.92</v>
      </c>
      <c r="L49" s="463">
        <v>11015.75</v>
      </c>
      <c r="M49" s="468">
        <v>15542.9</v>
      </c>
      <c r="N49" s="471">
        <v>20839.77</v>
      </c>
      <c r="O49" s="474">
        <v>18582.310000000001</v>
      </c>
      <c r="P49" s="477">
        <v>22054.48</v>
      </c>
      <c r="Q49" s="412">
        <f t="shared" si="4"/>
        <v>96241.12999999999</v>
      </c>
      <c r="R49" s="456">
        <f t="shared" si="14"/>
        <v>16040.188333333332</v>
      </c>
      <c r="T49" s="9">
        <f t="shared" si="15"/>
        <v>0</v>
      </c>
      <c r="U49" s="9">
        <f t="shared" si="15"/>
        <v>0</v>
      </c>
      <c r="V49" s="9">
        <f t="shared" si="15"/>
        <v>0</v>
      </c>
      <c r="W49" s="9">
        <f t="shared" si="15"/>
        <v>0</v>
      </c>
      <c r="X49" s="9">
        <f t="shared" si="15"/>
        <v>0</v>
      </c>
      <c r="Y49" s="9">
        <f t="shared" si="15"/>
        <v>96241.12999999999</v>
      </c>
      <c r="Z49" s="9">
        <f t="shared" si="15"/>
        <v>0</v>
      </c>
      <c r="AA49" s="9">
        <f t="shared" si="15"/>
        <v>0</v>
      </c>
      <c r="AB49" s="9">
        <f t="shared" si="15"/>
        <v>0</v>
      </c>
      <c r="AC49" s="9">
        <f t="shared" si="15"/>
        <v>0</v>
      </c>
      <c r="AD49" s="9">
        <f t="shared" si="15"/>
        <v>0</v>
      </c>
      <c r="AE49" s="9">
        <f t="shared" si="15"/>
        <v>0</v>
      </c>
      <c r="AF49" s="9">
        <f t="shared" si="15"/>
        <v>0</v>
      </c>
      <c r="AG49" s="9">
        <f t="shared" si="15"/>
        <v>0</v>
      </c>
      <c r="AH49" s="9">
        <f t="shared" si="15"/>
        <v>0</v>
      </c>
      <c r="AI49" s="9">
        <f t="shared" si="15"/>
        <v>0</v>
      </c>
      <c r="AK49" s="412">
        <f t="shared" si="6"/>
        <v>96241.12999999999</v>
      </c>
      <c r="AL49" s="412">
        <f t="shared" si="7"/>
        <v>-96241.12999999999</v>
      </c>
    </row>
    <row r="50" spans="1:38" ht="14">
      <c r="A50" s="402" t="s">
        <v>951</v>
      </c>
      <c r="B50" s="403">
        <v>15068521</v>
      </c>
      <c r="C50" s="402" t="s">
        <v>646</v>
      </c>
      <c r="D50" s="402" t="s">
        <v>966</v>
      </c>
      <c r="E50" s="439"/>
      <c r="F50" s="439"/>
      <c r="G50" s="439"/>
      <c r="H50" s="439"/>
      <c r="I50" s="439"/>
      <c r="J50" s="439"/>
      <c r="K50" s="461">
        <v>44.37</v>
      </c>
      <c r="L50" s="439"/>
      <c r="M50" s="439"/>
      <c r="N50" s="471">
        <v>132.66999999999999</v>
      </c>
      <c r="O50" s="474">
        <v>190.1</v>
      </c>
      <c r="P50" s="477">
        <v>111.01</v>
      </c>
      <c r="Q50" s="412">
        <f t="shared" si="4"/>
        <v>478.15</v>
      </c>
      <c r="R50" s="456">
        <f t="shared" si="14"/>
        <v>79.691666666666663</v>
      </c>
      <c r="T50" s="9">
        <f t="shared" si="15"/>
        <v>0</v>
      </c>
      <c r="U50" s="9">
        <f t="shared" si="15"/>
        <v>0</v>
      </c>
      <c r="V50" s="9">
        <f t="shared" si="15"/>
        <v>0</v>
      </c>
      <c r="W50" s="9">
        <f t="shared" si="15"/>
        <v>0</v>
      </c>
      <c r="X50" s="9">
        <f t="shared" si="15"/>
        <v>0</v>
      </c>
      <c r="Y50" s="9">
        <f t="shared" si="15"/>
        <v>0</v>
      </c>
      <c r="Z50" s="9">
        <f t="shared" si="15"/>
        <v>0</v>
      </c>
      <c r="AA50" s="9">
        <f t="shared" si="15"/>
        <v>0</v>
      </c>
      <c r="AB50" s="9">
        <f t="shared" si="15"/>
        <v>0</v>
      </c>
      <c r="AC50" s="9">
        <f t="shared" si="15"/>
        <v>0</v>
      </c>
      <c r="AD50" s="9">
        <f t="shared" si="15"/>
        <v>0</v>
      </c>
      <c r="AE50" s="9">
        <f t="shared" si="15"/>
        <v>0</v>
      </c>
      <c r="AF50" s="9">
        <f t="shared" si="15"/>
        <v>0</v>
      </c>
      <c r="AG50" s="9">
        <f t="shared" si="15"/>
        <v>478.15</v>
      </c>
      <c r="AH50" s="9">
        <f t="shared" si="15"/>
        <v>0</v>
      </c>
      <c r="AI50" s="9">
        <f t="shared" ref="U50:AI67" si="16">+IF($A50=AI$3,$Q50,0)</f>
        <v>0</v>
      </c>
      <c r="AK50" s="412">
        <f t="shared" si="6"/>
        <v>478.15</v>
      </c>
      <c r="AL50" s="412">
        <f t="shared" si="7"/>
        <v>-478.15</v>
      </c>
    </row>
    <row r="51" spans="1:38" ht="14">
      <c r="A51" s="402" t="s">
        <v>530</v>
      </c>
      <c r="B51" s="403">
        <v>15062439</v>
      </c>
      <c r="C51" s="402" t="s">
        <v>604</v>
      </c>
      <c r="D51" s="402" t="s">
        <v>325</v>
      </c>
      <c r="E51" s="413">
        <v>14798.09</v>
      </c>
      <c r="F51" s="423">
        <v>14922.94</v>
      </c>
      <c r="G51" s="437">
        <v>14664.75</v>
      </c>
      <c r="H51" s="449">
        <v>15743.75</v>
      </c>
      <c r="I51" s="450">
        <v>9541.43</v>
      </c>
      <c r="J51" s="453">
        <v>8092.15</v>
      </c>
      <c r="K51" s="463">
        <v>8385.85</v>
      </c>
      <c r="L51" s="463">
        <v>8192.1</v>
      </c>
      <c r="M51" s="468">
        <v>14020.57</v>
      </c>
      <c r="N51" s="471">
        <v>16866.400000000001</v>
      </c>
      <c r="O51" s="474">
        <v>19309.07</v>
      </c>
      <c r="P51" s="477">
        <v>24298.95</v>
      </c>
      <c r="Q51" s="412">
        <f t="shared" si="4"/>
        <v>91072.939999999988</v>
      </c>
      <c r="R51" s="456">
        <f t="shared" si="14"/>
        <v>15178.823333333332</v>
      </c>
      <c r="T51" s="9">
        <f t="shared" ref="T51:T100" si="17">+IF($A51=T$3,$Q51,0)</f>
        <v>0</v>
      </c>
      <c r="U51" s="9">
        <f t="shared" si="16"/>
        <v>0</v>
      </c>
      <c r="V51" s="9">
        <f t="shared" si="16"/>
        <v>0</v>
      </c>
      <c r="W51" s="9">
        <f t="shared" si="16"/>
        <v>0</v>
      </c>
      <c r="X51" s="9">
        <f t="shared" si="16"/>
        <v>0</v>
      </c>
      <c r="Y51" s="9">
        <f t="shared" si="16"/>
        <v>91072.939999999988</v>
      </c>
      <c r="Z51" s="9">
        <f t="shared" si="16"/>
        <v>0</v>
      </c>
      <c r="AA51" s="9">
        <f t="shared" si="16"/>
        <v>0</v>
      </c>
      <c r="AB51" s="9">
        <f t="shared" si="16"/>
        <v>0</v>
      </c>
      <c r="AC51" s="9">
        <f t="shared" si="16"/>
        <v>0</v>
      </c>
      <c r="AD51" s="9">
        <f t="shared" si="16"/>
        <v>0</v>
      </c>
      <c r="AE51" s="9">
        <f t="shared" si="16"/>
        <v>0</v>
      </c>
      <c r="AF51" s="9">
        <f t="shared" si="16"/>
        <v>0</v>
      </c>
      <c r="AG51" s="9">
        <f t="shared" si="16"/>
        <v>0</v>
      </c>
      <c r="AH51" s="9">
        <f t="shared" si="16"/>
        <v>0</v>
      </c>
      <c r="AI51" s="9">
        <f t="shared" si="16"/>
        <v>0</v>
      </c>
      <c r="AK51" s="412">
        <f t="shared" si="6"/>
        <v>91072.939999999988</v>
      </c>
      <c r="AL51" s="412">
        <f t="shared" si="7"/>
        <v>-91072.939999999988</v>
      </c>
    </row>
    <row r="52" spans="1:38" ht="14">
      <c r="A52" s="402" t="s">
        <v>531</v>
      </c>
      <c r="B52" s="403">
        <v>15035829</v>
      </c>
      <c r="C52" s="402" t="s">
        <v>567</v>
      </c>
      <c r="D52" s="402" t="s">
        <v>253</v>
      </c>
      <c r="E52" s="423">
        <v>13575.26</v>
      </c>
      <c r="F52" s="423">
        <v>16307.99</v>
      </c>
      <c r="G52" s="437">
        <v>14788.76</v>
      </c>
      <c r="H52" s="450">
        <v>14226.94</v>
      </c>
      <c r="I52" s="450">
        <v>15791.82</v>
      </c>
      <c r="J52" s="453">
        <v>8935.65</v>
      </c>
      <c r="K52" s="461">
        <v>14513.74</v>
      </c>
      <c r="L52" s="463">
        <v>17853.84</v>
      </c>
      <c r="M52" s="468">
        <v>23967.93</v>
      </c>
      <c r="N52" s="471">
        <v>49702.39</v>
      </c>
      <c r="O52" s="474">
        <v>37759</v>
      </c>
      <c r="P52" s="477">
        <v>65009.62</v>
      </c>
      <c r="Q52" s="412">
        <f t="shared" si="4"/>
        <v>208806.52</v>
      </c>
      <c r="R52" s="456">
        <f t="shared" si="14"/>
        <v>34801.086666666662</v>
      </c>
      <c r="T52" s="9">
        <f t="shared" si="17"/>
        <v>0</v>
      </c>
      <c r="U52" s="9">
        <f t="shared" si="16"/>
        <v>0</v>
      </c>
      <c r="V52" s="9">
        <f t="shared" si="16"/>
        <v>0</v>
      </c>
      <c r="W52" s="9">
        <f t="shared" si="16"/>
        <v>208806.52</v>
      </c>
      <c r="X52" s="9">
        <f t="shared" si="16"/>
        <v>0</v>
      </c>
      <c r="Y52" s="9">
        <f t="shared" si="16"/>
        <v>0</v>
      </c>
      <c r="Z52" s="9">
        <f t="shared" si="16"/>
        <v>0</v>
      </c>
      <c r="AA52" s="9">
        <f t="shared" si="16"/>
        <v>0</v>
      </c>
      <c r="AB52" s="9">
        <f t="shared" si="16"/>
        <v>0</v>
      </c>
      <c r="AC52" s="9">
        <f t="shared" si="16"/>
        <v>0</v>
      </c>
      <c r="AD52" s="9">
        <f t="shared" si="16"/>
        <v>0</v>
      </c>
      <c r="AE52" s="9">
        <f t="shared" si="16"/>
        <v>0</v>
      </c>
      <c r="AF52" s="9">
        <f t="shared" si="16"/>
        <v>0</v>
      </c>
      <c r="AG52" s="9">
        <f t="shared" si="16"/>
        <v>0</v>
      </c>
      <c r="AH52" s="9">
        <f t="shared" si="16"/>
        <v>0</v>
      </c>
      <c r="AI52" s="9">
        <f t="shared" si="16"/>
        <v>0</v>
      </c>
      <c r="AK52" s="412">
        <f t="shared" si="6"/>
        <v>208806.52</v>
      </c>
      <c r="AL52" s="412">
        <f t="shared" si="7"/>
        <v>-208806.52</v>
      </c>
    </row>
    <row r="53" spans="1:38" ht="14">
      <c r="A53" s="402" t="s">
        <v>664</v>
      </c>
      <c r="B53" s="403">
        <v>15060954</v>
      </c>
      <c r="C53" s="402" t="s">
        <v>528</v>
      </c>
      <c r="D53" s="402" t="s">
        <v>498</v>
      </c>
      <c r="E53" s="413">
        <v>2501.64</v>
      </c>
      <c r="F53" s="423">
        <v>4129.47</v>
      </c>
      <c r="G53" s="437">
        <v>2618.81</v>
      </c>
      <c r="H53" s="449">
        <v>3368.81</v>
      </c>
      <c r="I53" s="450">
        <v>2508.86</v>
      </c>
      <c r="J53" s="461">
        <v>1894.82</v>
      </c>
      <c r="K53" s="461">
        <v>907.72</v>
      </c>
      <c r="L53" s="439"/>
      <c r="Q53" s="412">
        <f t="shared" si="4"/>
        <v>907.72</v>
      </c>
      <c r="R53" s="456">
        <f t="shared" si="14"/>
        <v>151.28666666666666</v>
      </c>
      <c r="T53" s="9">
        <f t="shared" si="17"/>
        <v>0</v>
      </c>
      <c r="U53" s="9">
        <f t="shared" si="16"/>
        <v>0</v>
      </c>
      <c r="V53" s="9">
        <f t="shared" si="16"/>
        <v>0</v>
      </c>
      <c r="W53" s="9">
        <f t="shared" si="16"/>
        <v>0</v>
      </c>
      <c r="X53" s="9">
        <f t="shared" si="16"/>
        <v>0</v>
      </c>
      <c r="Y53" s="9">
        <f t="shared" si="16"/>
        <v>0</v>
      </c>
      <c r="Z53" s="9">
        <f t="shared" si="16"/>
        <v>0</v>
      </c>
      <c r="AA53" s="9">
        <f t="shared" si="16"/>
        <v>0</v>
      </c>
      <c r="AB53" s="9">
        <f t="shared" si="16"/>
        <v>0</v>
      </c>
      <c r="AC53" s="9">
        <f t="shared" si="16"/>
        <v>0</v>
      </c>
      <c r="AD53" s="9">
        <f t="shared" si="16"/>
        <v>0</v>
      </c>
      <c r="AE53" s="9">
        <f t="shared" si="16"/>
        <v>0</v>
      </c>
      <c r="AF53" s="9">
        <f t="shared" si="16"/>
        <v>907.72</v>
      </c>
      <c r="AG53" s="9">
        <f t="shared" si="16"/>
        <v>0</v>
      </c>
      <c r="AH53" s="9">
        <f t="shared" si="16"/>
        <v>0</v>
      </c>
      <c r="AI53" s="9">
        <f t="shared" si="16"/>
        <v>0</v>
      </c>
      <c r="AK53" s="412">
        <f t="shared" si="6"/>
        <v>907.72</v>
      </c>
      <c r="AL53" s="412">
        <f t="shared" si="7"/>
        <v>-907.72</v>
      </c>
    </row>
    <row r="54" spans="1:38" ht="14">
      <c r="A54" s="402" t="s">
        <v>951</v>
      </c>
      <c r="B54" s="403">
        <v>15005197</v>
      </c>
      <c r="C54" s="402"/>
      <c r="D54" s="402" t="s">
        <v>941</v>
      </c>
      <c r="E54" s="413">
        <v>206.86</v>
      </c>
      <c r="F54" s="437">
        <f>467.11+107.85</f>
        <v>574.96</v>
      </c>
      <c r="G54" s="437">
        <v>442.31</v>
      </c>
      <c r="H54" s="439"/>
      <c r="I54" s="450">
        <v>291.81</v>
      </c>
      <c r="J54" s="453">
        <f>185.88+248.22</f>
        <v>434.1</v>
      </c>
      <c r="K54" s="439"/>
      <c r="L54" s="463">
        <v>365.38</v>
      </c>
      <c r="M54" s="471">
        <f>520.47+54.06</f>
        <v>574.53</v>
      </c>
      <c r="O54" s="477">
        <v>43.4</v>
      </c>
      <c r="P54" s="477">
        <v>711.16</v>
      </c>
      <c r="Q54" s="412">
        <f t="shared" si="4"/>
        <v>1694.4699999999998</v>
      </c>
      <c r="R54" s="456">
        <f t="shared" si="14"/>
        <v>282.41166666666663</v>
      </c>
      <c r="T54" s="9">
        <f t="shared" si="17"/>
        <v>0</v>
      </c>
      <c r="U54" s="9">
        <f t="shared" si="16"/>
        <v>0</v>
      </c>
      <c r="V54" s="9">
        <f t="shared" si="16"/>
        <v>0</v>
      </c>
      <c r="W54" s="9">
        <f t="shared" si="16"/>
        <v>0</v>
      </c>
      <c r="X54" s="9">
        <f t="shared" si="16"/>
        <v>0</v>
      </c>
      <c r="Y54" s="9">
        <f t="shared" si="16"/>
        <v>0</v>
      </c>
      <c r="Z54" s="9">
        <f t="shared" si="16"/>
        <v>0</v>
      </c>
      <c r="AA54" s="9">
        <f t="shared" si="16"/>
        <v>0</v>
      </c>
      <c r="AB54" s="9">
        <f t="shared" si="16"/>
        <v>0</v>
      </c>
      <c r="AC54" s="9">
        <f t="shared" si="16"/>
        <v>0</v>
      </c>
      <c r="AD54" s="9">
        <f t="shared" si="16"/>
        <v>0</v>
      </c>
      <c r="AE54" s="9">
        <f t="shared" si="16"/>
        <v>0</v>
      </c>
      <c r="AF54" s="9">
        <f t="shared" si="16"/>
        <v>0</v>
      </c>
      <c r="AG54" s="9">
        <f t="shared" si="16"/>
        <v>1694.4699999999998</v>
      </c>
      <c r="AH54" s="9">
        <f t="shared" si="16"/>
        <v>0</v>
      </c>
      <c r="AI54" s="9">
        <f t="shared" si="16"/>
        <v>0</v>
      </c>
      <c r="AK54" s="412">
        <f t="shared" si="6"/>
        <v>1694.4699999999998</v>
      </c>
      <c r="AL54" s="412">
        <f t="shared" si="7"/>
        <v>-1694.4699999999998</v>
      </c>
    </row>
    <row r="55" spans="1:38" ht="14">
      <c r="A55" s="402" t="s">
        <v>951</v>
      </c>
      <c r="B55" s="404">
        <v>15067792</v>
      </c>
      <c r="C55" s="405"/>
      <c r="D55" s="405" t="s">
        <v>920</v>
      </c>
      <c r="E55" s="413">
        <v>196.41</v>
      </c>
      <c r="F55" s="439"/>
      <c r="G55" s="437">
        <v>53.55</v>
      </c>
      <c r="H55" s="449">
        <v>263.75</v>
      </c>
      <c r="I55" s="450">
        <v>173.33</v>
      </c>
      <c r="J55" s="453">
        <v>187.65</v>
      </c>
      <c r="K55" s="439"/>
      <c r="L55" s="439"/>
      <c r="M55" s="439"/>
      <c r="Q55" s="412">
        <f t="shared" si="4"/>
        <v>0</v>
      </c>
      <c r="R55" s="456">
        <f t="shared" si="14"/>
        <v>0</v>
      </c>
      <c r="T55" s="9">
        <f t="shared" si="17"/>
        <v>0</v>
      </c>
      <c r="U55" s="9">
        <f t="shared" si="16"/>
        <v>0</v>
      </c>
      <c r="V55" s="9">
        <f t="shared" si="16"/>
        <v>0</v>
      </c>
      <c r="W55" s="9">
        <f t="shared" si="16"/>
        <v>0</v>
      </c>
      <c r="X55" s="9">
        <f t="shared" si="16"/>
        <v>0</v>
      </c>
      <c r="Y55" s="9">
        <f t="shared" si="16"/>
        <v>0</v>
      </c>
      <c r="Z55" s="9">
        <f t="shared" si="16"/>
        <v>0</v>
      </c>
      <c r="AA55" s="9">
        <f t="shared" si="16"/>
        <v>0</v>
      </c>
      <c r="AB55" s="9">
        <f t="shared" si="16"/>
        <v>0</v>
      </c>
      <c r="AC55" s="9">
        <f t="shared" si="16"/>
        <v>0</v>
      </c>
      <c r="AD55" s="9">
        <f t="shared" si="16"/>
        <v>0</v>
      </c>
      <c r="AE55" s="9">
        <f t="shared" si="16"/>
        <v>0</v>
      </c>
      <c r="AF55" s="9">
        <f t="shared" si="16"/>
        <v>0</v>
      </c>
      <c r="AG55" s="9">
        <f t="shared" si="16"/>
        <v>0</v>
      </c>
      <c r="AH55" s="9">
        <f t="shared" si="16"/>
        <v>0</v>
      </c>
      <c r="AI55" s="9">
        <f t="shared" si="16"/>
        <v>0</v>
      </c>
      <c r="AK55" s="412">
        <f t="shared" si="6"/>
        <v>0</v>
      </c>
      <c r="AL55" s="412">
        <f t="shared" si="7"/>
        <v>0</v>
      </c>
    </row>
    <row r="56" spans="1:38" ht="14">
      <c r="A56" s="402" t="s">
        <v>951</v>
      </c>
      <c r="B56" s="403">
        <v>15033786</v>
      </c>
      <c r="C56" s="402"/>
      <c r="D56" s="402" t="s">
        <v>914</v>
      </c>
      <c r="E56" s="413">
        <v>541.89</v>
      </c>
      <c r="F56" s="423">
        <v>456.88</v>
      </c>
      <c r="G56" s="450">
        <v>1799.95</v>
      </c>
      <c r="H56" s="450">
        <v>2573.48</v>
      </c>
      <c r="I56" s="450">
        <v>535.52</v>
      </c>
      <c r="J56" s="453">
        <v>68</v>
      </c>
      <c r="K56" s="439"/>
      <c r="L56" s="439"/>
      <c r="M56" s="471">
        <v>879.75</v>
      </c>
      <c r="N56" s="471">
        <v>2394.88</v>
      </c>
      <c r="O56" s="477">
        <v>2435.34</v>
      </c>
      <c r="P56" s="477">
        <v>1164.5</v>
      </c>
      <c r="Q56" s="412">
        <f t="shared" si="4"/>
        <v>6874.47</v>
      </c>
      <c r="R56" s="456">
        <f t="shared" si="14"/>
        <v>1145.7450000000001</v>
      </c>
      <c r="T56" s="9">
        <f t="shared" si="17"/>
        <v>0</v>
      </c>
      <c r="U56" s="9">
        <f t="shared" si="16"/>
        <v>0</v>
      </c>
      <c r="V56" s="9">
        <f t="shared" si="16"/>
        <v>0</v>
      </c>
      <c r="W56" s="9">
        <f t="shared" si="16"/>
        <v>0</v>
      </c>
      <c r="X56" s="9">
        <f t="shared" si="16"/>
        <v>0</v>
      </c>
      <c r="Y56" s="9">
        <f t="shared" si="16"/>
        <v>0</v>
      </c>
      <c r="Z56" s="9">
        <f t="shared" si="16"/>
        <v>0</v>
      </c>
      <c r="AA56" s="9">
        <f t="shared" si="16"/>
        <v>0</v>
      </c>
      <c r="AB56" s="9">
        <f t="shared" si="16"/>
        <v>0</v>
      </c>
      <c r="AC56" s="9">
        <f t="shared" si="16"/>
        <v>0</v>
      </c>
      <c r="AD56" s="9">
        <f t="shared" si="16"/>
        <v>0</v>
      </c>
      <c r="AE56" s="9">
        <f t="shared" si="16"/>
        <v>0</v>
      </c>
      <c r="AF56" s="9">
        <f t="shared" si="16"/>
        <v>0</v>
      </c>
      <c r="AG56" s="9">
        <f t="shared" si="16"/>
        <v>6874.47</v>
      </c>
      <c r="AH56" s="9">
        <f t="shared" si="16"/>
        <v>0</v>
      </c>
      <c r="AI56" s="9">
        <f t="shared" si="16"/>
        <v>0</v>
      </c>
      <c r="AK56" s="412">
        <f t="shared" si="6"/>
        <v>6874.47</v>
      </c>
      <c r="AL56" s="412">
        <f t="shared" si="7"/>
        <v>-6874.47</v>
      </c>
    </row>
    <row r="57" spans="1:38" ht="14">
      <c r="A57" s="402" t="s">
        <v>535</v>
      </c>
      <c r="B57" s="403">
        <v>7002600</v>
      </c>
      <c r="C57" s="402" t="s">
        <v>655</v>
      </c>
      <c r="D57" s="402" t="s">
        <v>806</v>
      </c>
      <c r="E57" s="413">
        <v>2704.23</v>
      </c>
      <c r="F57" s="439"/>
      <c r="G57" s="439"/>
      <c r="H57" s="439"/>
      <c r="I57" s="439"/>
      <c r="J57" s="439"/>
      <c r="K57" s="439"/>
      <c r="L57" s="439"/>
      <c r="M57" s="439"/>
      <c r="N57" s="439"/>
      <c r="O57" s="439"/>
      <c r="P57" s="439"/>
      <c r="Q57" s="412">
        <f t="shared" si="4"/>
        <v>0</v>
      </c>
      <c r="R57" s="456">
        <f t="shared" si="14"/>
        <v>0</v>
      </c>
      <c r="T57" s="9">
        <f t="shared" si="17"/>
        <v>0</v>
      </c>
      <c r="U57" s="9">
        <f t="shared" si="16"/>
        <v>0</v>
      </c>
      <c r="V57" s="9">
        <f t="shared" si="16"/>
        <v>0</v>
      </c>
      <c r="W57" s="9">
        <f t="shared" si="16"/>
        <v>0</v>
      </c>
      <c r="X57" s="9">
        <f t="shared" si="16"/>
        <v>0</v>
      </c>
      <c r="Y57" s="9">
        <f t="shared" si="16"/>
        <v>0</v>
      </c>
      <c r="Z57" s="9">
        <f t="shared" si="16"/>
        <v>0</v>
      </c>
      <c r="AA57" s="9">
        <f t="shared" si="16"/>
        <v>0</v>
      </c>
      <c r="AB57" s="9">
        <f t="shared" si="16"/>
        <v>0</v>
      </c>
      <c r="AC57" s="9">
        <f t="shared" si="16"/>
        <v>0</v>
      </c>
      <c r="AD57" s="9">
        <f t="shared" si="16"/>
        <v>0</v>
      </c>
      <c r="AE57" s="9">
        <f t="shared" si="16"/>
        <v>0</v>
      </c>
      <c r="AF57" s="9">
        <f t="shared" si="16"/>
        <v>0</v>
      </c>
      <c r="AG57" s="9">
        <f t="shared" si="16"/>
        <v>0</v>
      </c>
      <c r="AH57" s="9">
        <f t="shared" si="16"/>
        <v>0</v>
      </c>
      <c r="AI57" s="9">
        <f t="shared" si="16"/>
        <v>0</v>
      </c>
      <c r="AK57" s="412">
        <f t="shared" si="6"/>
        <v>0</v>
      </c>
      <c r="AL57" s="412">
        <f t="shared" si="7"/>
        <v>0</v>
      </c>
    </row>
    <row r="58" spans="1:38" ht="14">
      <c r="A58" s="402" t="s">
        <v>533</v>
      </c>
      <c r="B58" s="403">
        <v>7008200</v>
      </c>
      <c r="C58" s="402" t="s">
        <v>347</v>
      </c>
      <c r="D58" s="402" t="s">
        <v>347</v>
      </c>
      <c r="E58" s="413">
        <v>7602</v>
      </c>
      <c r="F58" s="423">
        <v>8018.47</v>
      </c>
      <c r="G58" s="437">
        <v>7817.13</v>
      </c>
      <c r="H58" s="449">
        <v>8421.98</v>
      </c>
      <c r="I58" s="453">
        <v>7337.95</v>
      </c>
      <c r="J58" s="453">
        <v>6129.39</v>
      </c>
      <c r="K58" s="461">
        <v>5355.96</v>
      </c>
      <c r="L58" s="463">
        <v>5369.73</v>
      </c>
      <c r="M58" s="468">
        <v>8527.7199999999993</v>
      </c>
      <c r="N58" s="471">
        <v>10934.28</v>
      </c>
      <c r="O58" s="474">
        <v>11718.53</v>
      </c>
      <c r="P58" s="477">
        <v>13083.67</v>
      </c>
      <c r="Q58" s="412">
        <f t="shared" si="4"/>
        <v>54989.889999999992</v>
      </c>
      <c r="R58" s="456">
        <f t="shared" si="14"/>
        <v>9164.9816666666648</v>
      </c>
      <c r="T58" s="9">
        <f t="shared" si="17"/>
        <v>0</v>
      </c>
      <c r="U58" s="9">
        <f t="shared" si="16"/>
        <v>0</v>
      </c>
      <c r="V58" s="9">
        <f t="shared" si="16"/>
        <v>0</v>
      </c>
      <c r="W58" s="9">
        <f t="shared" si="16"/>
        <v>0</v>
      </c>
      <c r="X58" s="9">
        <f t="shared" si="16"/>
        <v>0</v>
      </c>
      <c r="Y58" s="9">
        <f t="shared" si="16"/>
        <v>0</v>
      </c>
      <c r="Z58" s="9">
        <f t="shared" si="16"/>
        <v>0</v>
      </c>
      <c r="AA58" s="9">
        <f t="shared" si="16"/>
        <v>0</v>
      </c>
      <c r="AB58" s="9">
        <f t="shared" si="16"/>
        <v>0</v>
      </c>
      <c r="AC58" s="9">
        <f t="shared" si="16"/>
        <v>54989.889999999992</v>
      </c>
      <c r="AD58" s="9">
        <f t="shared" si="16"/>
        <v>0</v>
      </c>
      <c r="AE58" s="9">
        <f t="shared" si="16"/>
        <v>0</v>
      </c>
      <c r="AF58" s="9">
        <f t="shared" si="16"/>
        <v>0</v>
      </c>
      <c r="AG58" s="9">
        <f t="shared" si="16"/>
        <v>0</v>
      </c>
      <c r="AH58" s="9">
        <f t="shared" si="16"/>
        <v>0</v>
      </c>
      <c r="AI58" s="9">
        <f t="shared" si="16"/>
        <v>0</v>
      </c>
      <c r="AK58" s="412">
        <f t="shared" si="6"/>
        <v>54989.889999999992</v>
      </c>
      <c r="AL58" s="412">
        <f t="shared" si="7"/>
        <v>-54989.889999999992</v>
      </c>
    </row>
    <row r="59" spans="1:38" ht="14">
      <c r="A59" s="402" t="s">
        <v>535</v>
      </c>
      <c r="B59" s="403">
        <v>15069022</v>
      </c>
      <c r="C59" s="402"/>
      <c r="D59" s="402" t="s">
        <v>942</v>
      </c>
      <c r="E59" s="413">
        <v>4063.25</v>
      </c>
      <c r="F59" s="423">
        <v>4800.04</v>
      </c>
      <c r="G59" s="437">
        <v>5675.08</v>
      </c>
      <c r="H59" s="449">
        <v>8889.23</v>
      </c>
      <c r="I59" s="450">
        <v>3960.71</v>
      </c>
      <c r="J59" s="453">
        <v>2761.83</v>
      </c>
      <c r="K59" s="461">
        <v>2889.34</v>
      </c>
      <c r="L59" s="463">
        <v>3033.68</v>
      </c>
      <c r="M59" s="468">
        <v>4531.53</v>
      </c>
      <c r="N59" s="471">
        <v>6236.5</v>
      </c>
      <c r="O59" s="477">
        <v>9411.7199999999993</v>
      </c>
      <c r="P59" s="477">
        <v>10512.86</v>
      </c>
      <c r="Q59" s="412">
        <f t="shared" si="4"/>
        <v>36615.629999999997</v>
      </c>
      <c r="R59" s="456">
        <f t="shared" si="14"/>
        <v>6102.6049999999996</v>
      </c>
      <c r="T59" s="9">
        <f t="shared" si="17"/>
        <v>0</v>
      </c>
      <c r="U59" s="9">
        <f t="shared" si="16"/>
        <v>0</v>
      </c>
      <c r="V59" s="9">
        <f t="shared" si="16"/>
        <v>0</v>
      </c>
      <c r="W59" s="9">
        <f t="shared" si="16"/>
        <v>0</v>
      </c>
      <c r="X59" s="9">
        <f t="shared" si="16"/>
        <v>0</v>
      </c>
      <c r="Y59" s="9">
        <f t="shared" si="16"/>
        <v>0</v>
      </c>
      <c r="Z59" s="9">
        <f t="shared" si="16"/>
        <v>0</v>
      </c>
      <c r="AA59" s="9">
        <f t="shared" si="16"/>
        <v>36615.629999999997</v>
      </c>
      <c r="AB59" s="9">
        <f t="shared" si="16"/>
        <v>0</v>
      </c>
      <c r="AC59" s="9">
        <f t="shared" si="16"/>
        <v>0</v>
      </c>
      <c r="AD59" s="9">
        <f t="shared" si="16"/>
        <v>0</v>
      </c>
      <c r="AE59" s="9">
        <f t="shared" si="16"/>
        <v>0</v>
      </c>
      <c r="AF59" s="9">
        <f t="shared" si="16"/>
        <v>0</v>
      </c>
      <c r="AG59" s="9">
        <f t="shared" si="16"/>
        <v>0</v>
      </c>
      <c r="AH59" s="9">
        <f t="shared" si="16"/>
        <v>0</v>
      </c>
      <c r="AI59" s="9">
        <f t="shared" si="16"/>
        <v>0</v>
      </c>
      <c r="AK59" s="412">
        <f t="shared" si="6"/>
        <v>36615.629999999997</v>
      </c>
      <c r="AL59" s="412">
        <f t="shared" si="7"/>
        <v>-36615.629999999997</v>
      </c>
    </row>
    <row r="60" spans="1:38" ht="14">
      <c r="A60" s="402" t="s">
        <v>531</v>
      </c>
      <c r="B60" s="404">
        <v>15062715</v>
      </c>
      <c r="C60" s="405"/>
      <c r="D60" s="405" t="s">
        <v>917</v>
      </c>
      <c r="E60" s="413">
        <v>18400</v>
      </c>
      <c r="F60" s="423">
        <v>27436</v>
      </c>
      <c r="G60" s="437">
        <v>32749.39</v>
      </c>
      <c r="H60" s="449">
        <v>17839.88</v>
      </c>
      <c r="I60" s="450">
        <v>37867</v>
      </c>
      <c r="J60" s="453">
        <v>16050.23</v>
      </c>
      <c r="K60" s="463">
        <v>19007.45</v>
      </c>
      <c r="L60" s="463">
        <v>22946.31</v>
      </c>
      <c r="M60" s="468">
        <v>31466.74</v>
      </c>
      <c r="N60" s="471">
        <v>58550.74</v>
      </c>
      <c r="O60" s="474">
        <v>59476</v>
      </c>
      <c r="P60" s="477">
        <v>72093</v>
      </c>
      <c r="Q60" s="412">
        <f t="shared" si="4"/>
        <v>263540.24</v>
      </c>
      <c r="R60" s="456">
        <f t="shared" si="14"/>
        <v>43923.373333333329</v>
      </c>
      <c r="T60" s="9">
        <f t="shared" si="17"/>
        <v>0</v>
      </c>
      <c r="U60" s="9">
        <f t="shared" si="16"/>
        <v>0</v>
      </c>
      <c r="V60" s="9">
        <f t="shared" si="16"/>
        <v>0</v>
      </c>
      <c r="W60" s="9">
        <f t="shared" si="16"/>
        <v>263540.24</v>
      </c>
      <c r="X60" s="9">
        <f t="shared" si="16"/>
        <v>0</v>
      </c>
      <c r="Y60" s="9">
        <f t="shared" si="16"/>
        <v>0</v>
      </c>
      <c r="Z60" s="9">
        <f t="shared" si="16"/>
        <v>0</v>
      </c>
      <c r="AA60" s="9">
        <f t="shared" si="16"/>
        <v>0</v>
      </c>
      <c r="AB60" s="9">
        <f t="shared" si="16"/>
        <v>0</v>
      </c>
      <c r="AC60" s="9">
        <f t="shared" si="16"/>
        <v>0</v>
      </c>
      <c r="AD60" s="9">
        <f t="shared" si="16"/>
        <v>0</v>
      </c>
      <c r="AE60" s="9">
        <f t="shared" si="16"/>
        <v>0</v>
      </c>
      <c r="AF60" s="9">
        <f t="shared" si="16"/>
        <v>0</v>
      </c>
      <c r="AG60" s="9">
        <f t="shared" si="16"/>
        <v>0</v>
      </c>
      <c r="AH60" s="9">
        <f t="shared" si="16"/>
        <v>0</v>
      </c>
      <c r="AI60" s="9">
        <f t="shared" si="16"/>
        <v>0</v>
      </c>
      <c r="AK60" s="412">
        <f t="shared" si="6"/>
        <v>263540.24</v>
      </c>
      <c r="AL60" s="412">
        <f t="shared" si="7"/>
        <v>-263540.24</v>
      </c>
    </row>
    <row r="61" spans="1:38" ht="14">
      <c r="A61" s="402" t="s">
        <v>531</v>
      </c>
      <c r="B61" s="404">
        <v>15065301</v>
      </c>
      <c r="C61" s="405"/>
      <c r="D61" s="405" t="s">
        <v>918</v>
      </c>
      <c r="E61" s="413">
        <v>15493</v>
      </c>
      <c r="F61" s="423">
        <v>18172</v>
      </c>
      <c r="G61" s="437">
        <v>15739</v>
      </c>
      <c r="H61" s="449">
        <v>37876.07</v>
      </c>
      <c r="I61" s="450">
        <v>13807</v>
      </c>
      <c r="J61" s="453">
        <v>6036.16</v>
      </c>
      <c r="K61" s="463">
        <v>11312.73</v>
      </c>
      <c r="L61" s="463">
        <v>13735.7</v>
      </c>
      <c r="M61" s="468">
        <v>21433.85</v>
      </c>
      <c r="N61" s="471">
        <v>27604.6</v>
      </c>
      <c r="O61" s="474">
        <v>26041</v>
      </c>
      <c r="P61" s="477">
        <v>30074</v>
      </c>
      <c r="Q61" s="412">
        <f t="shared" si="4"/>
        <v>130201.88</v>
      </c>
      <c r="R61" s="456">
        <f t="shared" si="14"/>
        <v>21700.313333333335</v>
      </c>
      <c r="T61" s="9">
        <f t="shared" si="17"/>
        <v>0</v>
      </c>
      <c r="U61" s="9">
        <f t="shared" si="16"/>
        <v>0</v>
      </c>
      <c r="V61" s="9">
        <f t="shared" si="16"/>
        <v>0</v>
      </c>
      <c r="W61" s="9">
        <f t="shared" si="16"/>
        <v>130201.88</v>
      </c>
      <c r="X61" s="9">
        <f t="shared" si="16"/>
        <v>0</v>
      </c>
      <c r="Y61" s="9">
        <f t="shared" si="16"/>
        <v>0</v>
      </c>
      <c r="Z61" s="9">
        <f t="shared" si="16"/>
        <v>0</v>
      </c>
      <c r="AA61" s="9">
        <f t="shared" si="16"/>
        <v>0</v>
      </c>
      <c r="AB61" s="9">
        <f t="shared" si="16"/>
        <v>0</v>
      </c>
      <c r="AC61" s="9">
        <f t="shared" si="16"/>
        <v>0</v>
      </c>
      <c r="AD61" s="9">
        <f t="shared" si="16"/>
        <v>0</v>
      </c>
      <c r="AE61" s="9">
        <f t="shared" si="16"/>
        <v>0</v>
      </c>
      <c r="AF61" s="9">
        <f t="shared" si="16"/>
        <v>0</v>
      </c>
      <c r="AG61" s="9">
        <f t="shared" si="16"/>
        <v>0</v>
      </c>
      <c r="AH61" s="9">
        <f t="shared" si="16"/>
        <v>0</v>
      </c>
      <c r="AI61" s="9">
        <f t="shared" si="16"/>
        <v>0</v>
      </c>
      <c r="AK61" s="412">
        <f t="shared" si="6"/>
        <v>130201.88</v>
      </c>
      <c r="AL61" s="412">
        <f t="shared" si="7"/>
        <v>-130201.88</v>
      </c>
    </row>
    <row r="62" spans="1:38" ht="14">
      <c r="A62" s="402" t="s">
        <v>537</v>
      </c>
      <c r="B62" s="403">
        <v>7006300</v>
      </c>
      <c r="C62" s="402" t="s">
        <v>261</v>
      </c>
      <c r="D62" s="402" t="s">
        <v>261</v>
      </c>
      <c r="E62" s="413">
        <v>6160.79</v>
      </c>
      <c r="F62" s="423">
        <v>6489.3</v>
      </c>
      <c r="G62" s="437">
        <v>7303.9</v>
      </c>
      <c r="H62" s="449">
        <v>7142.11</v>
      </c>
      <c r="I62" s="450">
        <v>4844.3</v>
      </c>
      <c r="J62" s="453">
        <v>4045.22</v>
      </c>
      <c r="K62" s="461">
        <v>4624.5</v>
      </c>
      <c r="L62" s="463">
        <v>4041.95</v>
      </c>
      <c r="Q62" s="412">
        <f t="shared" si="4"/>
        <v>8666.4500000000007</v>
      </c>
      <c r="R62" s="456">
        <f t="shared" si="14"/>
        <v>1444.4083333333335</v>
      </c>
      <c r="T62" s="9">
        <f t="shared" si="17"/>
        <v>0</v>
      </c>
      <c r="U62" s="9">
        <f t="shared" si="16"/>
        <v>8666.4500000000007</v>
      </c>
      <c r="V62" s="9">
        <f t="shared" si="16"/>
        <v>0</v>
      </c>
      <c r="W62" s="9">
        <f t="shared" si="16"/>
        <v>0</v>
      </c>
      <c r="X62" s="9">
        <f t="shared" si="16"/>
        <v>0</v>
      </c>
      <c r="Y62" s="9">
        <f t="shared" si="16"/>
        <v>0</v>
      </c>
      <c r="Z62" s="9">
        <f t="shared" si="16"/>
        <v>0</v>
      </c>
      <c r="AA62" s="9">
        <f t="shared" si="16"/>
        <v>0</v>
      </c>
      <c r="AB62" s="9">
        <f t="shared" si="16"/>
        <v>0</v>
      </c>
      <c r="AC62" s="9">
        <f t="shared" si="16"/>
        <v>0</v>
      </c>
      <c r="AD62" s="9">
        <f t="shared" si="16"/>
        <v>0</v>
      </c>
      <c r="AE62" s="9">
        <f t="shared" si="16"/>
        <v>0</v>
      </c>
      <c r="AF62" s="9">
        <f t="shared" si="16"/>
        <v>0</v>
      </c>
      <c r="AG62" s="9">
        <f t="shared" si="16"/>
        <v>0</v>
      </c>
      <c r="AH62" s="9">
        <f t="shared" si="16"/>
        <v>0</v>
      </c>
      <c r="AI62" s="9">
        <f t="shared" si="16"/>
        <v>0</v>
      </c>
      <c r="AK62" s="412">
        <f t="shared" si="6"/>
        <v>8666.4500000000007</v>
      </c>
      <c r="AL62" s="412">
        <f t="shared" si="7"/>
        <v>-8666.4500000000007</v>
      </c>
    </row>
    <row r="63" spans="1:38" ht="14">
      <c r="A63" s="402" t="s">
        <v>533</v>
      </c>
      <c r="B63" s="403">
        <v>7008700</v>
      </c>
      <c r="C63" s="402" t="s">
        <v>109</v>
      </c>
      <c r="D63" s="402" t="s">
        <v>109</v>
      </c>
      <c r="E63" s="413">
        <v>386.75</v>
      </c>
      <c r="F63" s="423">
        <v>1100.93</v>
      </c>
      <c r="G63" s="437">
        <v>1301.3800000000001</v>
      </c>
      <c r="H63" s="449">
        <v>435.39</v>
      </c>
      <c r="I63" s="471">
        <v>540.71</v>
      </c>
      <c r="J63" s="453">
        <v>163.04</v>
      </c>
      <c r="K63" s="461">
        <v>168.66</v>
      </c>
      <c r="L63" s="439"/>
      <c r="M63" s="468">
        <v>225.78</v>
      </c>
      <c r="N63" s="471">
        <v>321.14999999999998</v>
      </c>
      <c r="O63" s="474">
        <v>294.87</v>
      </c>
      <c r="P63" s="477">
        <v>1042.3900000000001</v>
      </c>
      <c r="Q63" s="412">
        <f t="shared" si="4"/>
        <v>2052.85</v>
      </c>
      <c r="R63" s="456">
        <f t="shared" si="14"/>
        <v>342.14166666666665</v>
      </c>
      <c r="T63" s="9">
        <f t="shared" si="17"/>
        <v>0</v>
      </c>
      <c r="U63" s="9">
        <f t="shared" si="16"/>
        <v>0</v>
      </c>
      <c r="V63" s="9">
        <f t="shared" si="16"/>
        <v>0</v>
      </c>
      <c r="W63" s="9">
        <f t="shared" si="16"/>
        <v>0</v>
      </c>
      <c r="X63" s="9">
        <f t="shared" si="16"/>
        <v>0</v>
      </c>
      <c r="Y63" s="9">
        <f t="shared" si="16"/>
        <v>0</v>
      </c>
      <c r="Z63" s="9">
        <f t="shared" si="16"/>
        <v>0</v>
      </c>
      <c r="AA63" s="9">
        <f t="shared" si="16"/>
        <v>0</v>
      </c>
      <c r="AB63" s="9">
        <f t="shared" si="16"/>
        <v>0</v>
      </c>
      <c r="AC63" s="9">
        <f t="shared" si="16"/>
        <v>2052.85</v>
      </c>
      <c r="AD63" s="9">
        <f t="shared" si="16"/>
        <v>0</v>
      </c>
      <c r="AE63" s="9">
        <f t="shared" si="16"/>
        <v>0</v>
      </c>
      <c r="AF63" s="9">
        <f t="shared" si="16"/>
        <v>0</v>
      </c>
      <c r="AG63" s="9">
        <f t="shared" si="16"/>
        <v>0</v>
      </c>
      <c r="AH63" s="9">
        <f t="shared" si="16"/>
        <v>0</v>
      </c>
      <c r="AI63" s="9">
        <f t="shared" si="16"/>
        <v>0</v>
      </c>
      <c r="AK63" s="412">
        <f t="shared" si="6"/>
        <v>2052.85</v>
      </c>
      <c r="AL63" s="412">
        <f t="shared" si="7"/>
        <v>-2052.85</v>
      </c>
    </row>
    <row r="64" spans="1:38" ht="14">
      <c r="A64" s="402" t="s">
        <v>951</v>
      </c>
      <c r="B64" s="403">
        <v>7008800</v>
      </c>
      <c r="C64" s="402" t="s">
        <v>88</v>
      </c>
      <c r="D64" s="402" t="s">
        <v>88</v>
      </c>
      <c r="E64" s="413">
        <v>520.12</v>
      </c>
      <c r="F64" s="423">
        <v>174.44</v>
      </c>
      <c r="G64" s="437">
        <v>331.59</v>
      </c>
      <c r="H64" s="449">
        <v>494.34</v>
      </c>
      <c r="I64" s="450">
        <v>226.36</v>
      </c>
      <c r="J64" s="453">
        <v>70.86</v>
      </c>
      <c r="K64" s="461">
        <v>125.72</v>
      </c>
      <c r="L64" s="463">
        <v>177.02</v>
      </c>
      <c r="M64" s="468">
        <v>326.91000000000003</v>
      </c>
      <c r="N64" s="471">
        <v>614.49</v>
      </c>
      <c r="O64" s="474">
        <v>908.48</v>
      </c>
      <c r="P64" s="477">
        <v>833.92</v>
      </c>
      <c r="Q64" s="412">
        <f t="shared" si="4"/>
        <v>2986.54</v>
      </c>
      <c r="R64" s="456">
        <f t="shared" si="14"/>
        <v>497.75666666666666</v>
      </c>
      <c r="T64" s="9">
        <f t="shared" si="17"/>
        <v>0</v>
      </c>
      <c r="U64" s="9">
        <f t="shared" si="16"/>
        <v>0</v>
      </c>
      <c r="V64" s="9">
        <f t="shared" si="16"/>
        <v>0</v>
      </c>
      <c r="W64" s="9">
        <f t="shared" si="16"/>
        <v>0</v>
      </c>
      <c r="X64" s="9">
        <f t="shared" si="16"/>
        <v>0</v>
      </c>
      <c r="Y64" s="9">
        <f t="shared" si="16"/>
        <v>0</v>
      </c>
      <c r="Z64" s="9">
        <f t="shared" si="16"/>
        <v>0</v>
      </c>
      <c r="AA64" s="9">
        <f t="shared" si="16"/>
        <v>0</v>
      </c>
      <c r="AB64" s="9">
        <f t="shared" si="16"/>
        <v>0</v>
      </c>
      <c r="AC64" s="9">
        <f t="shared" si="16"/>
        <v>0</v>
      </c>
      <c r="AD64" s="9">
        <f t="shared" si="16"/>
        <v>0</v>
      </c>
      <c r="AE64" s="9">
        <f t="shared" si="16"/>
        <v>0</v>
      </c>
      <c r="AF64" s="9">
        <f t="shared" si="16"/>
        <v>0</v>
      </c>
      <c r="AG64" s="9">
        <f t="shared" si="16"/>
        <v>2986.54</v>
      </c>
      <c r="AH64" s="9">
        <f t="shared" si="16"/>
        <v>0</v>
      </c>
      <c r="AI64" s="9">
        <f t="shared" si="16"/>
        <v>0</v>
      </c>
      <c r="AK64" s="412">
        <f t="shared" si="6"/>
        <v>2986.54</v>
      </c>
      <c r="AL64" s="412">
        <f t="shared" si="7"/>
        <v>-2986.54</v>
      </c>
    </row>
    <row r="65" spans="1:38" ht="14">
      <c r="A65" s="402" t="s">
        <v>951</v>
      </c>
      <c r="B65" s="404">
        <v>15059608</v>
      </c>
      <c r="C65" s="405" t="s">
        <v>847</v>
      </c>
      <c r="D65" s="405" t="s">
        <v>847</v>
      </c>
      <c r="E65" s="439"/>
      <c r="F65" s="423">
        <v>327.07</v>
      </c>
      <c r="G65" s="439"/>
      <c r="H65" s="449">
        <v>470.67</v>
      </c>
      <c r="I65" s="450">
        <v>242.97</v>
      </c>
      <c r="J65" s="453">
        <v>349.15</v>
      </c>
      <c r="K65" s="439"/>
      <c r="L65" s="463">
        <v>52.37</v>
      </c>
      <c r="M65" s="468">
        <v>1246.23</v>
      </c>
      <c r="N65" s="471">
        <v>218.18</v>
      </c>
      <c r="O65" s="474">
        <v>259.04000000000002</v>
      </c>
      <c r="Q65" s="412">
        <f t="shared" si="4"/>
        <v>1775.82</v>
      </c>
      <c r="R65" s="456">
        <f t="shared" si="14"/>
        <v>295.96999999999997</v>
      </c>
      <c r="T65" s="9">
        <f t="shared" si="17"/>
        <v>0</v>
      </c>
      <c r="U65" s="9">
        <f t="shared" si="16"/>
        <v>0</v>
      </c>
      <c r="V65" s="9">
        <f t="shared" si="16"/>
        <v>0</v>
      </c>
      <c r="W65" s="9">
        <f t="shared" si="16"/>
        <v>0</v>
      </c>
      <c r="X65" s="9">
        <f t="shared" si="16"/>
        <v>0</v>
      </c>
      <c r="Y65" s="9">
        <f t="shared" si="16"/>
        <v>0</v>
      </c>
      <c r="Z65" s="9">
        <f t="shared" si="16"/>
        <v>0</v>
      </c>
      <c r="AA65" s="9">
        <f t="shared" si="16"/>
        <v>0</v>
      </c>
      <c r="AB65" s="9">
        <f t="shared" si="16"/>
        <v>0</v>
      </c>
      <c r="AC65" s="9">
        <f t="shared" si="16"/>
        <v>0</v>
      </c>
      <c r="AD65" s="9">
        <f t="shared" si="16"/>
        <v>0</v>
      </c>
      <c r="AE65" s="9">
        <f t="shared" si="16"/>
        <v>0</v>
      </c>
      <c r="AF65" s="9">
        <f t="shared" si="16"/>
        <v>0</v>
      </c>
      <c r="AG65" s="9">
        <f t="shared" si="16"/>
        <v>1775.82</v>
      </c>
      <c r="AH65" s="9">
        <f t="shared" si="16"/>
        <v>0</v>
      </c>
      <c r="AI65" s="9">
        <f t="shared" si="16"/>
        <v>0</v>
      </c>
      <c r="AK65" s="412">
        <f t="shared" si="6"/>
        <v>1775.82</v>
      </c>
      <c r="AL65" s="412">
        <f t="shared" si="7"/>
        <v>-1775.82</v>
      </c>
    </row>
    <row r="66" spans="1:38" ht="14">
      <c r="A66" s="402" t="s">
        <v>663</v>
      </c>
      <c r="B66" s="403">
        <v>15067165</v>
      </c>
      <c r="C66" s="402" t="s">
        <v>264</v>
      </c>
      <c r="D66" s="402" t="s">
        <v>893</v>
      </c>
      <c r="E66" s="413">
        <v>43714.06</v>
      </c>
      <c r="F66" s="423">
        <v>40164.160000000003</v>
      </c>
      <c r="G66" s="437">
        <v>47996.93</v>
      </c>
      <c r="H66" s="449">
        <v>82188.429999999993</v>
      </c>
      <c r="I66" s="450">
        <v>26641.77</v>
      </c>
      <c r="J66" s="453">
        <v>12860.25</v>
      </c>
      <c r="K66" s="461">
        <v>14880.53</v>
      </c>
      <c r="L66" s="463">
        <v>15301.39</v>
      </c>
      <c r="M66" s="468">
        <v>30525.67</v>
      </c>
      <c r="N66" s="471">
        <v>57491.09</v>
      </c>
      <c r="O66" s="474">
        <v>67704.27</v>
      </c>
      <c r="P66" s="477">
        <v>86558.6</v>
      </c>
      <c r="Q66" s="412">
        <f t="shared" si="4"/>
        <v>272461.55000000005</v>
      </c>
      <c r="R66" s="456">
        <f t="shared" si="14"/>
        <v>45410.258333333339</v>
      </c>
      <c r="T66" s="9">
        <f t="shared" si="17"/>
        <v>0</v>
      </c>
      <c r="U66" s="9">
        <f t="shared" si="16"/>
        <v>0</v>
      </c>
      <c r="V66" s="9">
        <f t="shared" si="16"/>
        <v>0</v>
      </c>
      <c r="W66" s="9">
        <f t="shared" si="16"/>
        <v>0</v>
      </c>
      <c r="X66" s="9">
        <f t="shared" si="16"/>
        <v>0</v>
      </c>
      <c r="Y66" s="9">
        <f t="shared" si="16"/>
        <v>0</v>
      </c>
      <c r="Z66" s="9">
        <f t="shared" si="16"/>
        <v>0</v>
      </c>
      <c r="AA66" s="9">
        <f t="shared" si="16"/>
        <v>272461.55000000005</v>
      </c>
      <c r="AB66" s="9">
        <f t="shared" si="16"/>
        <v>0</v>
      </c>
      <c r="AC66" s="9">
        <f t="shared" si="16"/>
        <v>0</v>
      </c>
      <c r="AD66" s="9">
        <f t="shared" si="16"/>
        <v>0</v>
      </c>
      <c r="AE66" s="9">
        <f t="shared" si="16"/>
        <v>0</v>
      </c>
      <c r="AF66" s="9">
        <f t="shared" si="16"/>
        <v>0</v>
      </c>
      <c r="AG66" s="9">
        <f t="shared" si="16"/>
        <v>0</v>
      </c>
      <c r="AH66" s="9">
        <f t="shared" si="16"/>
        <v>0</v>
      </c>
      <c r="AI66" s="9">
        <f t="shared" si="16"/>
        <v>0</v>
      </c>
      <c r="AK66" s="412">
        <f t="shared" si="6"/>
        <v>272461.55000000005</v>
      </c>
      <c r="AL66" s="412">
        <f t="shared" si="7"/>
        <v>-272461.55000000005</v>
      </c>
    </row>
    <row r="67" spans="1:38" ht="14">
      <c r="A67" s="402" t="s">
        <v>951</v>
      </c>
      <c r="B67" s="403">
        <v>15063098</v>
      </c>
      <c r="C67" s="402"/>
      <c r="D67" s="402" t="s">
        <v>954</v>
      </c>
      <c r="E67" s="450">
        <v>102</v>
      </c>
      <c r="F67" s="450">
        <v>72.680000000000007</v>
      </c>
      <c r="G67" s="450">
        <v>388.2</v>
      </c>
      <c r="H67" s="439"/>
      <c r="I67" s="439"/>
      <c r="J67" s="439"/>
      <c r="K67" s="439"/>
      <c r="L67" s="439"/>
      <c r="M67" s="471">
        <v>55.25</v>
      </c>
      <c r="Q67" s="412">
        <f t="shared" si="4"/>
        <v>55.25</v>
      </c>
      <c r="R67" s="456">
        <f t="shared" si="14"/>
        <v>9.2083333333333339</v>
      </c>
      <c r="T67" s="9">
        <f t="shared" si="17"/>
        <v>0</v>
      </c>
      <c r="U67" s="9">
        <f t="shared" si="16"/>
        <v>0</v>
      </c>
      <c r="V67" s="9">
        <f t="shared" si="16"/>
        <v>0</v>
      </c>
      <c r="W67" s="9">
        <f t="shared" si="16"/>
        <v>0</v>
      </c>
      <c r="X67" s="9">
        <f t="shared" si="16"/>
        <v>0</v>
      </c>
      <c r="Y67" s="9">
        <f t="shared" si="16"/>
        <v>0</v>
      </c>
      <c r="Z67" s="9">
        <f t="shared" si="16"/>
        <v>0</v>
      </c>
      <c r="AA67" s="9">
        <f t="shared" si="16"/>
        <v>0</v>
      </c>
      <c r="AB67" s="9">
        <f t="shared" si="16"/>
        <v>0</v>
      </c>
      <c r="AC67" s="9">
        <f t="shared" si="16"/>
        <v>0</v>
      </c>
      <c r="AD67" s="9">
        <f t="shared" si="16"/>
        <v>0</v>
      </c>
      <c r="AE67" s="9">
        <f t="shared" si="16"/>
        <v>0</v>
      </c>
      <c r="AF67" s="9">
        <f t="shared" si="16"/>
        <v>0</v>
      </c>
      <c r="AG67" s="9">
        <f t="shared" si="16"/>
        <v>55.25</v>
      </c>
      <c r="AH67" s="9">
        <f t="shared" si="16"/>
        <v>0</v>
      </c>
      <c r="AI67" s="9">
        <f t="shared" ref="U67:AI84" si="18">+IF($A67=AI$3,$Q67,0)</f>
        <v>0</v>
      </c>
      <c r="AK67" s="412">
        <f t="shared" si="6"/>
        <v>55.25</v>
      </c>
      <c r="AL67" s="412">
        <f t="shared" si="7"/>
        <v>-55.25</v>
      </c>
    </row>
    <row r="68" spans="1:38" ht="14">
      <c r="A68" s="402" t="s">
        <v>659</v>
      </c>
      <c r="B68" s="403">
        <v>7005102</v>
      </c>
      <c r="C68" s="402" t="s">
        <v>633</v>
      </c>
      <c r="D68" s="402" t="s">
        <v>265</v>
      </c>
      <c r="E68" s="413">
        <v>8221.01</v>
      </c>
      <c r="F68" s="423">
        <v>6109.92</v>
      </c>
      <c r="G68" s="437">
        <v>7089.41</v>
      </c>
      <c r="H68" s="449">
        <v>7960.37</v>
      </c>
      <c r="I68" s="450">
        <v>6218.22</v>
      </c>
      <c r="J68" s="453">
        <v>8305.17</v>
      </c>
      <c r="K68" s="461">
        <v>6658.89</v>
      </c>
      <c r="L68" s="463">
        <v>5349.87</v>
      </c>
      <c r="M68" s="468">
        <v>6032.06</v>
      </c>
      <c r="N68" s="471">
        <v>8954.77</v>
      </c>
      <c r="O68" s="474">
        <v>10274.59</v>
      </c>
      <c r="P68" s="477">
        <v>9749.09</v>
      </c>
      <c r="Q68" s="412">
        <f t="shared" si="4"/>
        <v>47019.270000000004</v>
      </c>
      <c r="R68" s="456">
        <f t="shared" si="14"/>
        <v>7836.545000000001</v>
      </c>
      <c r="T68" s="9">
        <f t="shared" si="17"/>
        <v>0</v>
      </c>
      <c r="U68" s="9">
        <f t="shared" si="18"/>
        <v>0</v>
      </c>
      <c r="V68" s="9">
        <f t="shared" si="18"/>
        <v>0</v>
      </c>
      <c r="W68" s="9">
        <f t="shared" si="18"/>
        <v>0</v>
      </c>
      <c r="X68" s="9">
        <f t="shared" si="18"/>
        <v>0</v>
      </c>
      <c r="Y68" s="9">
        <f t="shared" si="18"/>
        <v>0</v>
      </c>
      <c r="Z68" s="9">
        <f t="shared" si="18"/>
        <v>0</v>
      </c>
      <c r="AA68" s="9">
        <f t="shared" si="18"/>
        <v>0</v>
      </c>
      <c r="AB68" s="9">
        <f t="shared" si="18"/>
        <v>0</v>
      </c>
      <c r="AC68" s="9">
        <f t="shared" si="18"/>
        <v>0</v>
      </c>
      <c r="AD68" s="9">
        <f t="shared" si="18"/>
        <v>0</v>
      </c>
      <c r="AE68" s="9">
        <f t="shared" si="18"/>
        <v>47019.270000000004</v>
      </c>
      <c r="AF68" s="9">
        <f t="shared" si="18"/>
        <v>0</v>
      </c>
      <c r="AG68" s="9">
        <f t="shared" si="18"/>
        <v>0</v>
      </c>
      <c r="AH68" s="9">
        <f t="shared" si="18"/>
        <v>0</v>
      </c>
      <c r="AI68" s="9">
        <f t="shared" si="18"/>
        <v>0</v>
      </c>
      <c r="AK68" s="412">
        <f t="shared" si="6"/>
        <v>47019.270000000004</v>
      </c>
      <c r="AL68" s="412">
        <f t="shared" si="7"/>
        <v>-47019.270000000004</v>
      </c>
    </row>
    <row r="69" spans="1:38" ht="14">
      <c r="A69" s="402" t="s">
        <v>951</v>
      </c>
      <c r="B69" s="403">
        <v>13675300</v>
      </c>
      <c r="C69" s="402" t="s">
        <v>646</v>
      </c>
      <c r="D69" s="402" t="s">
        <v>967</v>
      </c>
      <c r="E69" s="439"/>
      <c r="F69" s="439"/>
      <c r="G69" s="439"/>
      <c r="H69" s="439"/>
      <c r="I69" s="439"/>
      <c r="J69" s="439"/>
      <c r="K69" s="461">
        <v>51.25</v>
      </c>
      <c r="L69" s="463">
        <v>473.03</v>
      </c>
      <c r="M69" s="468">
        <v>93.33</v>
      </c>
      <c r="N69" s="471">
        <v>318.33</v>
      </c>
      <c r="P69" s="477">
        <v>519.44000000000005</v>
      </c>
      <c r="Q69" s="412">
        <f t="shared" ref="Q69:Q100" si="19">+SUM(K69:P69)</f>
        <v>1455.38</v>
      </c>
      <c r="R69" s="456">
        <f t="shared" si="14"/>
        <v>242.56333333333336</v>
      </c>
      <c r="T69" s="9">
        <f t="shared" si="17"/>
        <v>0</v>
      </c>
      <c r="U69" s="9">
        <f t="shared" si="18"/>
        <v>0</v>
      </c>
      <c r="V69" s="9">
        <f t="shared" si="18"/>
        <v>0</v>
      </c>
      <c r="W69" s="9">
        <f t="shared" si="18"/>
        <v>0</v>
      </c>
      <c r="X69" s="9">
        <f t="shared" si="18"/>
        <v>0</v>
      </c>
      <c r="Y69" s="9">
        <f t="shared" si="18"/>
        <v>0</v>
      </c>
      <c r="Z69" s="9">
        <f t="shared" si="18"/>
        <v>0</v>
      </c>
      <c r="AA69" s="9">
        <f t="shared" si="18"/>
        <v>0</v>
      </c>
      <c r="AB69" s="9">
        <f t="shared" si="18"/>
        <v>0</v>
      </c>
      <c r="AC69" s="9">
        <f t="shared" si="18"/>
        <v>0</v>
      </c>
      <c r="AD69" s="9">
        <f t="shared" si="18"/>
        <v>0</v>
      </c>
      <c r="AE69" s="9">
        <f t="shared" si="18"/>
        <v>0</v>
      </c>
      <c r="AF69" s="9">
        <f t="shared" si="18"/>
        <v>0</v>
      </c>
      <c r="AG69" s="9">
        <f t="shared" si="18"/>
        <v>1455.38</v>
      </c>
      <c r="AH69" s="9">
        <f t="shared" si="18"/>
        <v>0</v>
      </c>
      <c r="AI69" s="9">
        <f t="shared" si="18"/>
        <v>0</v>
      </c>
      <c r="AK69" s="412">
        <f t="shared" ref="AK69:AK100" si="20">+SUM(K69:P69)</f>
        <v>1455.38</v>
      </c>
      <c r="AL69" s="412">
        <f t="shared" ref="AL69:AL100" si="21">+AI69-AK69</f>
        <v>-1455.38</v>
      </c>
    </row>
    <row r="70" spans="1:38" ht="14">
      <c r="A70" s="402" t="s">
        <v>659</v>
      </c>
      <c r="B70" s="403">
        <v>15066520</v>
      </c>
      <c r="C70" s="405"/>
      <c r="D70" s="405" t="s">
        <v>911</v>
      </c>
      <c r="E70" s="413">
        <v>6842.82</v>
      </c>
      <c r="F70" s="423">
        <v>6027.51</v>
      </c>
      <c r="G70" s="437">
        <v>5957.37</v>
      </c>
      <c r="H70" s="449">
        <v>6548.78</v>
      </c>
      <c r="I70" s="450">
        <v>5185.05</v>
      </c>
      <c r="J70" s="453">
        <v>7317</v>
      </c>
      <c r="K70" s="461">
        <v>7868.55</v>
      </c>
      <c r="L70" s="463">
        <v>7083.14</v>
      </c>
      <c r="M70" s="468">
        <v>8169.54</v>
      </c>
      <c r="N70" s="471">
        <v>9286.6200000000008</v>
      </c>
      <c r="O70" s="474">
        <v>6535.99</v>
      </c>
      <c r="P70" s="477">
        <v>7460.11</v>
      </c>
      <c r="Q70" s="412">
        <f t="shared" si="19"/>
        <v>46403.95</v>
      </c>
      <c r="R70" s="456">
        <f t="shared" si="14"/>
        <v>7733.9916666666659</v>
      </c>
      <c r="T70" s="9">
        <f t="shared" si="17"/>
        <v>0</v>
      </c>
      <c r="U70" s="9">
        <f t="shared" si="18"/>
        <v>0</v>
      </c>
      <c r="V70" s="9">
        <f t="shared" si="18"/>
        <v>0</v>
      </c>
      <c r="W70" s="9">
        <f t="shared" si="18"/>
        <v>0</v>
      </c>
      <c r="X70" s="9">
        <f t="shared" si="18"/>
        <v>0</v>
      </c>
      <c r="Y70" s="9">
        <f t="shared" si="18"/>
        <v>0</v>
      </c>
      <c r="Z70" s="9">
        <f t="shared" si="18"/>
        <v>0</v>
      </c>
      <c r="AA70" s="9">
        <f t="shared" si="18"/>
        <v>0</v>
      </c>
      <c r="AB70" s="9">
        <f t="shared" si="18"/>
        <v>0</v>
      </c>
      <c r="AC70" s="9">
        <f t="shared" si="18"/>
        <v>0</v>
      </c>
      <c r="AD70" s="9">
        <f t="shared" si="18"/>
        <v>0</v>
      </c>
      <c r="AE70" s="9">
        <f t="shared" si="18"/>
        <v>46403.95</v>
      </c>
      <c r="AF70" s="9">
        <f t="shared" si="18"/>
        <v>0</v>
      </c>
      <c r="AG70" s="9">
        <f t="shared" si="18"/>
        <v>0</v>
      </c>
      <c r="AH70" s="9">
        <f t="shared" si="18"/>
        <v>0</v>
      </c>
      <c r="AI70" s="9">
        <f t="shared" si="18"/>
        <v>0</v>
      </c>
      <c r="AK70" s="412">
        <f t="shared" si="20"/>
        <v>46403.95</v>
      </c>
      <c r="AL70" s="412">
        <f t="shared" si="21"/>
        <v>-46403.95</v>
      </c>
    </row>
    <row r="71" spans="1:38" ht="14">
      <c r="A71" s="402" t="s">
        <v>535</v>
      </c>
      <c r="B71" s="403">
        <v>15061713</v>
      </c>
      <c r="C71" s="405"/>
      <c r="D71" s="405" t="s">
        <v>278</v>
      </c>
      <c r="E71" s="461">
        <v>5309.93</v>
      </c>
      <c r="F71" s="461">
        <v>5309.18</v>
      </c>
      <c r="G71" s="449">
        <v>6041.19</v>
      </c>
      <c r="H71" s="461">
        <v>6059.22</v>
      </c>
      <c r="I71" s="461">
        <v>4946.45</v>
      </c>
      <c r="J71" s="453">
        <v>5883.2</v>
      </c>
      <c r="K71" s="461">
        <v>7257.55</v>
      </c>
      <c r="L71" s="463">
        <v>5343.67</v>
      </c>
      <c r="M71" s="468">
        <v>7196.96</v>
      </c>
      <c r="N71" s="471">
        <v>9058.91</v>
      </c>
      <c r="O71" s="474">
        <v>7520.87</v>
      </c>
      <c r="P71" s="477">
        <v>7529.94</v>
      </c>
      <c r="Q71" s="412">
        <f t="shared" si="19"/>
        <v>43907.9</v>
      </c>
      <c r="R71" s="456">
        <f t="shared" si="14"/>
        <v>7317.9833333333336</v>
      </c>
      <c r="T71" s="9">
        <f t="shared" si="17"/>
        <v>0</v>
      </c>
      <c r="U71" s="9">
        <f t="shared" si="18"/>
        <v>0</v>
      </c>
      <c r="V71" s="9">
        <f t="shared" si="18"/>
        <v>0</v>
      </c>
      <c r="W71" s="9">
        <f t="shared" si="18"/>
        <v>0</v>
      </c>
      <c r="X71" s="9">
        <f t="shared" si="18"/>
        <v>0</v>
      </c>
      <c r="Y71" s="9">
        <f t="shared" si="18"/>
        <v>0</v>
      </c>
      <c r="Z71" s="9">
        <f t="shared" si="18"/>
        <v>0</v>
      </c>
      <c r="AA71" s="9">
        <f t="shared" si="18"/>
        <v>43907.9</v>
      </c>
      <c r="AB71" s="9">
        <f t="shared" si="18"/>
        <v>0</v>
      </c>
      <c r="AC71" s="9">
        <f t="shared" si="18"/>
        <v>0</v>
      </c>
      <c r="AD71" s="9">
        <f t="shared" si="18"/>
        <v>0</v>
      </c>
      <c r="AE71" s="9">
        <f t="shared" si="18"/>
        <v>0</v>
      </c>
      <c r="AF71" s="9">
        <f t="shared" si="18"/>
        <v>0</v>
      </c>
      <c r="AG71" s="9">
        <f t="shared" si="18"/>
        <v>0</v>
      </c>
      <c r="AH71" s="9">
        <f t="shared" si="18"/>
        <v>0</v>
      </c>
      <c r="AI71" s="9">
        <f t="shared" si="18"/>
        <v>0</v>
      </c>
      <c r="AK71" s="412">
        <f t="shared" si="20"/>
        <v>43907.9</v>
      </c>
      <c r="AL71" s="412">
        <f t="shared" si="21"/>
        <v>-43907.9</v>
      </c>
    </row>
    <row r="72" spans="1:38" ht="14">
      <c r="A72" s="402" t="s">
        <v>658</v>
      </c>
      <c r="B72" s="403">
        <v>15063838</v>
      </c>
      <c r="C72" s="402"/>
      <c r="D72" s="402" t="s">
        <v>908</v>
      </c>
      <c r="E72" s="413">
        <v>10736.1</v>
      </c>
      <c r="F72" s="471">
        <v>12793.17</v>
      </c>
      <c r="G72" s="437">
        <v>13103.34</v>
      </c>
      <c r="H72" s="449">
        <v>15754.29</v>
      </c>
      <c r="I72" s="450">
        <v>19247.5</v>
      </c>
      <c r="J72" s="453">
        <v>8005.97</v>
      </c>
      <c r="K72" s="461">
        <v>9335.23</v>
      </c>
      <c r="L72" s="463">
        <v>9022.74</v>
      </c>
      <c r="M72" s="468">
        <v>14365.58</v>
      </c>
      <c r="N72" s="471">
        <v>22073.16</v>
      </c>
      <c r="O72" s="474">
        <v>25898.3</v>
      </c>
      <c r="P72" s="477">
        <v>30556.27</v>
      </c>
      <c r="Q72" s="412">
        <f t="shared" si="19"/>
        <v>111251.28000000001</v>
      </c>
      <c r="R72" s="456">
        <f t="shared" si="14"/>
        <v>18541.88</v>
      </c>
      <c r="T72" s="9">
        <f t="shared" si="17"/>
        <v>0</v>
      </c>
      <c r="U72" s="9">
        <f t="shared" si="18"/>
        <v>0</v>
      </c>
      <c r="V72" s="9">
        <f t="shared" si="18"/>
        <v>0</v>
      </c>
      <c r="W72" s="9">
        <f t="shared" si="18"/>
        <v>0</v>
      </c>
      <c r="X72" s="9">
        <f t="shared" si="18"/>
        <v>0</v>
      </c>
      <c r="Y72" s="9">
        <f t="shared" si="18"/>
        <v>0</v>
      </c>
      <c r="Z72" s="9">
        <f t="shared" si="18"/>
        <v>0</v>
      </c>
      <c r="AA72" s="9">
        <f t="shared" si="18"/>
        <v>0</v>
      </c>
      <c r="AB72" s="9">
        <f t="shared" si="18"/>
        <v>111251.28000000001</v>
      </c>
      <c r="AC72" s="9">
        <f t="shared" si="18"/>
        <v>0</v>
      </c>
      <c r="AD72" s="9">
        <f t="shared" si="18"/>
        <v>0</v>
      </c>
      <c r="AE72" s="9">
        <f t="shared" si="18"/>
        <v>0</v>
      </c>
      <c r="AF72" s="9">
        <f t="shared" si="18"/>
        <v>0</v>
      </c>
      <c r="AG72" s="9">
        <f t="shared" si="18"/>
        <v>0</v>
      </c>
      <c r="AH72" s="9">
        <f t="shared" si="18"/>
        <v>0</v>
      </c>
      <c r="AI72" s="9">
        <f t="shared" si="18"/>
        <v>0</v>
      </c>
      <c r="AK72" s="412">
        <f t="shared" si="20"/>
        <v>111251.28000000001</v>
      </c>
      <c r="AL72" s="412">
        <f t="shared" si="21"/>
        <v>-111251.28000000001</v>
      </c>
    </row>
    <row r="73" spans="1:38" ht="14">
      <c r="A73" s="402" t="s">
        <v>951</v>
      </c>
      <c r="B73" s="403">
        <v>15059551</v>
      </c>
      <c r="C73" s="402"/>
      <c r="D73" s="402" t="s">
        <v>943</v>
      </c>
      <c r="E73" s="413">
        <v>27.71</v>
      </c>
      <c r="F73" s="423">
        <v>54.83</v>
      </c>
      <c r="G73" s="437">
        <v>115.09</v>
      </c>
      <c r="H73" s="449">
        <v>50.58</v>
      </c>
      <c r="N73" s="471">
        <v>100.56</v>
      </c>
      <c r="O73" s="474">
        <v>171.7</v>
      </c>
      <c r="Q73" s="412">
        <f t="shared" si="19"/>
        <v>272.26</v>
      </c>
      <c r="R73" s="456">
        <f>+Q73/$R$2</f>
        <v>45.376666666666665</v>
      </c>
      <c r="T73" s="9">
        <f t="shared" si="17"/>
        <v>0</v>
      </c>
      <c r="U73" s="9">
        <f t="shared" si="18"/>
        <v>0</v>
      </c>
      <c r="V73" s="9">
        <f t="shared" si="18"/>
        <v>0</v>
      </c>
      <c r="W73" s="9">
        <f t="shared" si="18"/>
        <v>0</v>
      </c>
      <c r="X73" s="9">
        <f t="shared" si="18"/>
        <v>0</v>
      </c>
      <c r="Y73" s="9">
        <f t="shared" si="18"/>
        <v>0</v>
      </c>
      <c r="Z73" s="9">
        <f t="shared" si="18"/>
        <v>0</v>
      </c>
      <c r="AA73" s="9">
        <f t="shared" si="18"/>
        <v>0</v>
      </c>
      <c r="AB73" s="9">
        <f t="shared" si="18"/>
        <v>0</v>
      </c>
      <c r="AC73" s="9">
        <f t="shared" si="18"/>
        <v>0</v>
      </c>
      <c r="AD73" s="9">
        <f t="shared" si="18"/>
        <v>0</v>
      </c>
      <c r="AE73" s="9">
        <f t="shared" si="18"/>
        <v>0</v>
      </c>
      <c r="AF73" s="9">
        <f t="shared" si="18"/>
        <v>0</v>
      </c>
      <c r="AG73" s="9">
        <f t="shared" si="18"/>
        <v>272.26</v>
      </c>
      <c r="AH73" s="9">
        <f t="shared" si="18"/>
        <v>0</v>
      </c>
      <c r="AI73" s="9">
        <f t="shared" si="18"/>
        <v>0</v>
      </c>
      <c r="AK73" s="412">
        <f t="shared" si="20"/>
        <v>272.26</v>
      </c>
      <c r="AL73" s="412">
        <f t="shared" si="21"/>
        <v>-272.26</v>
      </c>
    </row>
    <row r="74" spans="1:38" ht="14">
      <c r="A74" s="402" t="s">
        <v>951</v>
      </c>
      <c r="B74" s="403">
        <v>15063097</v>
      </c>
      <c r="C74" s="402"/>
      <c r="D74" s="402" t="s">
        <v>955</v>
      </c>
      <c r="E74" s="450">
        <v>294.52999999999997</v>
      </c>
      <c r="F74" s="450">
        <v>1234.6300000000001</v>
      </c>
      <c r="G74" s="450">
        <v>868.28</v>
      </c>
      <c r="H74" s="471">
        <v>507.2</v>
      </c>
      <c r="I74" s="471">
        <v>540.73</v>
      </c>
      <c r="J74" s="471">
        <v>268.86</v>
      </c>
      <c r="K74" s="471">
        <v>140.12</v>
      </c>
      <c r="M74" s="471">
        <v>830.03</v>
      </c>
      <c r="O74" s="413">
        <v>1086.9100000000001</v>
      </c>
      <c r="P74" s="413">
        <v>675.71</v>
      </c>
      <c r="Q74" s="412">
        <f t="shared" si="19"/>
        <v>2732.77</v>
      </c>
      <c r="R74" s="456">
        <f t="shared" ref="R74:R100" si="22">+Q74/$R$2</f>
        <v>455.46166666666664</v>
      </c>
      <c r="T74" s="9">
        <f t="shared" si="17"/>
        <v>0</v>
      </c>
      <c r="U74" s="9">
        <f t="shared" si="18"/>
        <v>0</v>
      </c>
      <c r="V74" s="9">
        <f t="shared" si="18"/>
        <v>0</v>
      </c>
      <c r="W74" s="9">
        <f t="shared" si="18"/>
        <v>0</v>
      </c>
      <c r="X74" s="9">
        <f t="shared" si="18"/>
        <v>0</v>
      </c>
      <c r="Y74" s="9">
        <f t="shared" si="18"/>
        <v>0</v>
      </c>
      <c r="Z74" s="9">
        <f t="shared" si="18"/>
        <v>0</v>
      </c>
      <c r="AA74" s="9">
        <f t="shared" si="18"/>
        <v>0</v>
      </c>
      <c r="AB74" s="9">
        <f t="shared" si="18"/>
        <v>0</v>
      </c>
      <c r="AC74" s="9">
        <f t="shared" si="18"/>
        <v>0</v>
      </c>
      <c r="AD74" s="9">
        <f t="shared" si="18"/>
        <v>0</v>
      </c>
      <c r="AE74" s="9">
        <f t="shared" si="18"/>
        <v>0</v>
      </c>
      <c r="AF74" s="9">
        <f t="shared" si="18"/>
        <v>0</v>
      </c>
      <c r="AG74" s="9">
        <f t="shared" si="18"/>
        <v>2732.77</v>
      </c>
      <c r="AH74" s="9">
        <f t="shared" si="18"/>
        <v>0</v>
      </c>
      <c r="AI74" s="9">
        <f t="shared" si="18"/>
        <v>0</v>
      </c>
      <c r="AK74" s="412">
        <f t="shared" si="20"/>
        <v>2732.77</v>
      </c>
      <c r="AL74" s="412">
        <f t="shared" si="21"/>
        <v>-2732.77</v>
      </c>
    </row>
    <row r="75" spans="1:38" ht="14">
      <c r="A75" s="402" t="s">
        <v>659</v>
      </c>
      <c r="B75" s="403">
        <v>15036180</v>
      </c>
      <c r="C75" s="402" t="s">
        <v>626</v>
      </c>
      <c r="D75" s="402" t="s">
        <v>687</v>
      </c>
      <c r="E75" s="413">
        <v>5550.26</v>
      </c>
      <c r="F75" s="423">
        <v>6303.87</v>
      </c>
      <c r="G75" s="437">
        <v>5395.31</v>
      </c>
      <c r="H75" s="449">
        <v>5723.67</v>
      </c>
      <c r="I75" s="450">
        <v>4179.2</v>
      </c>
      <c r="J75" s="453">
        <v>3379.31</v>
      </c>
      <c r="K75" s="463">
        <v>4247.97</v>
      </c>
      <c r="L75" s="463">
        <v>3739.74</v>
      </c>
      <c r="M75" s="468">
        <v>6067.23</v>
      </c>
      <c r="N75" s="471">
        <v>8215.5400000000009</v>
      </c>
      <c r="O75" s="474">
        <v>9822.9699999999993</v>
      </c>
      <c r="P75" s="413">
        <v>11656.39</v>
      </c>
      <c r="Q75" s="412">
        <f t="shared" si="19"/>
        <v>43749.84</v>
      </c>
      <c r="R75" s="456">
        <f t="shared" si="22"/>
        <v>7291.6399999999994</v>
      </c>
      <c r="T75" s="9">
        <f t="shared" si="17"/>
        <v>0</v>
      </c>
      <c r="U75" s="9">
        <f t="shared" si="18"/>
        <v>0</v>
      </c>
      <c r="V75" s="9">
        <f t="shared" si="18"/>
        <v>0</v>
      </c>
      <c r="W75" s="9">
        <f t="shared" si="18"/>
        <v>0</v>
      </c>
      <c r="X75" s="9">
        <f t="shared" si="18"/>
        <v>0</v>
      </c>
      <c r="Y75" s="9">
        <f t="shared" si="18"/>
        <v>0</v>
      </c>
      <c r="Z75" s="9">
        <f t="shared" si="18"/>
        <v>0</v>
      </c>
      <c r="AA75" s="9">
        <f t="shared" si="18"/>
        <v>0</v>
      </c>
      <c r="AB75" s="9">
        <f t="shared" si="18"/>
        <v>0</v>
      </c>
      <c r="AC75" s="9">
        <f t="shared" si="18"/>
        <v>0</v>
      </c>
      <c r="AD75" s="9">
        <f t="shared" si="18"/>
        <v>0</v>
      </c>
      <c r="AE75" s="9">
        <f t="shared" si="18"/>
        <v>43749.84</v>
      </c>
      <c r="AF75" s="9">
        <f t="shared" si="18"/>
        <v>0</v>
      </c>
      <c r="AG75" s="9">
        <f t="shared" si="18"/>
        <v>0</v>
      </c>
      <c r="AH75" s="9">
        <f t="shared" si="18"/>
        <v>0</v>
      </c>
      <c r="AI75" s="9">
        <f t="shared" si="18"/>
        <v>0</v>
      </c>
      <c r="AK75" s="412">
        <f t="shared" si="20"/>
        <v>43749.84</v>
      </c>
      <c r="AL75" s="412">
        <f t="shared" si="21"/>
        <v>-43749.84</v>
      </c>
    </row>
    <row r="76" spans="1:38" ht="14">
      <c r="A76" s="402" t="s">
        <v>662</v>
      </c>
      <c r="B76" s="403">
        <v>7001502</v>
      </c>
      <c r="C76" s="402" t="s">
        <v>650</v>
      </c>
      <c r="D76" s="402" t="s">
        <v>270</v>
      </c>
      <c r="E76" s="413">
        <v>6857.99</v>
      </c>
      <c r="F76" s="423">
        <v>7395.57</v>
      </c>
      <c r="G76" s="437">
        <v>6483.19</v>
      </c>
      <c r="H76" s="449">
        <v>7876.7</v>
      </c>
      <c r="I76" s="450">
        <v>4865.22</v>
      </c>
      <c r="J76" s="453">
        <v>2952.49</v>
      </c>
      <c r="K76" s="461">
        <v>3551.72</v>
      </c>
      <c r="L76" s="463">
        <v>3897.04</v>
      </c>
      <c r="M76" s="468">
        <v>5562.03</v>
      </c>
      <c r="N76" s="471">
        <v>7673.82</v>
      </c>
      <c r="O76" s="474">
        <v>8181.28</v>
      </c>
      <c r="P76" s="477">
        <v>10610.51</v>
      </c>
      <c r="Q76" s="412">
        <f t="shared" si="19"/>
        <v>39476.400000000001</v>
      </c>
      <c r="R76" s="456">
        <f t="shared" si="22"/>
        <v>6579.4000000000005</v>
      </c>
      <c r="T76" s="9">
        <f t="shared" si="17"/>
        <v>0</v>
      </c>
      <c r="U76" s="9">
        <f t="shared" si="18"/>
        <v>0</v>
      </c>
      <c r="V76" s="9">
        <f t="shared" si="18"/>
        <v>39476.400000000001</v>
      </c>
      <c r="W76" s="9">
        <f t="shared" si="18"/>
        <v>0</v>
      </c>
      <c r="X76" s="9">
        <f t="shared" si="18"/>
        <v>0</v>
      </c>
      <c r="Y76" s="9">
        <f t="shared" si="18"/>
        <v>0</v>
      </c>
      <c r="Z76" s="9">
        <f t="shared" si="18"/>
        <v>0</v>
      </c>
      <c r="AA76" s="9">
        <f t="shared" si="18"/>
        <v>0</v>
      </c>
      <c r="AB76" s="9">
        <f t="shared" si="18"/>
        <v>0</v>
      </c>
      <c r="AC76" s="9">
        <f t="shared" si="18"/>
        <v>0</v>
      </c>
      <c r="AD76" s="9">
        <f t="shared" si="18"/>
        <v>0</v>
      </c>
      <c r="AE76" s="9">
        <f t="shared" si="18"/>
        <v>0</v>
      </c>
      <c r="AF76" s="9">
        <f t="shared" si="18"/>
        <v>0</v>
      </c>
      <c r="AG76" s="9">
        <f t="shared" si="18"/>
        <v>0</v>
      </c>
      <c r="AH76" s="9">
        <f t="shared" si="18"/>
        <v>0</v>
      </c>
      <c r="AI76" s="9">
        <f t="shared" si="18"/>
        <v>0</v>
      </c>
      <c r="AK76" s="412">
        <f t="shared" si="20"/>
        <v>39476.400000000001</v>
      </c>
      <c r="AL76" s="412">
        <f t="shared" si="21"/>
        <v>-39476.400000000001</v>
      </c>
    </row>
    <row r="77" spans="1:38" ht="14">
      <c r="A77" s="402" t="s">
        <v>662</v>
      </c>
      <c r="B77" s="404">
        <v>15067771</v>
      </c>
      <c r="C77" s="405"/>
      <c r="D77" s="405" t="s">
        <v>921</v>
      </c>
      <c r="E77" s="413">
        <v>8229.85</v>
      </c>
      <c r="F77" s="423">
        <v>6713.38</v>
      </c>
      <c r="G77" s="437">
        <v>6916.81</v>
      </c>
      <c r="H77" s="449">
        <v>7321.27</v>
      </c>
      <c r="I77" s="450">
        <v>5903.79</v>
      </c>
      <c r="J77" s="453">
        <v>5168.7</v>
      </c>
      <c r="K77" s="461">
        <v>5863.5</v>
      </c>
      <c r="L77" s="463">
        <v>5640.58</v>
      </c>
      <c r="M77" s="468">
        <v>8326.65</v>
      </c>
      <c r="N77" s="471">
        <v>9570.92</v>
      </c>
      <c r="O77" s="474">
        <v>9537.7900000000009</v>
      </c>
      <c r="P77" s="477">
        <v>10725.62</v>
      </c>
      <c r="Q77" s="412">
        <f t="shared" si="19"/>
        <v>49665.060000000005</v>
      </c>
      <c r="R77" s="456">
        <f t="shared" si="22"/>
        <v>8277.51</v>
      </c>
      <c r="T77" s="9">
        <f t="shared" si="17"/>
        <v>0</v>
      </c>
      <c r="U77" s="9">
        <f t="shared" si="18"/>
        <v>0</v>
      </c>
      <c r="V77" s="9">
        <f t="shared" si="18"/>
        <v>49665.060000000005</v>
      </c>
      <c r="W77" s="9">
        <f t="shared" si="18"/>
        <v>0</v>
      </c>
      <c r="X77" s="9">
        <f t="shared" si="18"/>
        <v>0</v>
      </c>
      <c r="Y77" s="9">
        <f t="shared" si="18"/>
        <v>0</v>
      </c>
      <c r="Z77" s="9">
        <f t="shared" si="18"/>
        <v>0</v>
      </c>
      <c r="AA77" s="9">
        <f t="shared" si="18"/>
        <v>0</v>
      </c>
      <c r="AB77" s="9">
        <f t="shared" si="18"/>
        <v>0</v>
      </c>
      <c r="AC77" s="9">
        <f t="shared" si="18"/>
        <v>0</v>
      </c>
      <c r="AD77" s="9">
        <f t="shared" si="18"/>
        <v>0</v>
      </c>
      <c r="AE77" s="9">
        <f t="shared" si="18"/>
        <v>0</v>
      </c>
      <c r="AF77" s="9">
        <f t="shared" si="18"/>
        <v>0</v>
      </c>
      <c r="AG77" s="9">
        <f t="shared" si="18"/>
        <v>0</v>
      </c>
      <c r="AH77" s="9">
        <f t="shared" si="18"/>
        <v>0</v>
      </c>
      <c r="AI77" s="9">
        <f t="shared" si="18"/>
        <v>0</v>
      </c>
      <c r="AK77" s="412">
        <f t="shared" si="20"/>
        <v>49665.060000000005</v>
      </c>
      <c r="AL77" s="412">
        <f t="shared" si="21"/>
        <v>-49665.060000000005</v>
      </c>
    </row>
    <row r="78" spans="1:38" ht="14">
      <c r="A78" s="402" t="s">
        <v>658</v>
      </c>
      <c r="B78" s="440">
        <v>15051247</v>
      </c>
      <c r="C78" s="402" t="s">
        <v>480</v>
      </c>
      <c r="D78" s="402" t="s">
        <v>480</v>
      </c>
      <c r="E78" s="413">
        <v>12020.83</v>
      </c>
      <c r="F78" s="423">
        <v>8979.9500000000007</v>
      </c>
      <c r="G78" s="437">
        <v>11937.57</v>
      </c>
      <c r="H78" s="449">
        <v>8054.02</v>
      </c>
      <c r="I78" s="450">
        <v>6891.4</v>
      </c>
      <c r="J78" s="453">
        <v>6891.4</v>
      </c>
      <c r="K78" s="468">
        <v>7110.03</v>
      </c>
      <c r="L78" s="468">
        <v>8658.7199999999993</v>
      </c>
      <c r="M78" s="468">
        <v>11009.68</v>
      </c>
      <c r="N78" s="471">
        <v>12318.07</v>
      </c>
      <c r="O78" s="474">
        <v>13326.83</v>
      </c>
      <c r="P78" s="477">
        <v>12758.88</v>
      </c>
      <c r="Q78" s="412">
        <f t="shared" si="19"/>
        <v>65182.21</v>
      </c>
      <c r="R78" s="456">
        <f t="shared" si="22"/>
        <v>10863.701666666666</v>
      </c>
      <c r="T78" s="9">
        <f t="shared" si="17"/>
        <v>0</v>
      </c>
      <c r="U78" s="9">
        <f t="shared" si="18"/>
        <v>0</v>
      </c>
      <c r="V78" s="9">
        <f t="shared" si="18"/>
        <v>0</v>
      </c>
      <c r="W78" s="9">
        <f t="shared" si="18"/>
        <v>0</v>
      </c>
      <c r="X78" s="9">
        <f t="shared" si="18"/>
        <v>0</v>
      </c>
      <c r="Y78" s="9">
        <f t="shared" si="18"/>
        <v>0</v>
      </c>
      <c r="Z78" s="9">
        <f t="shared" si="18"/>
        <v>0</v>
      </c>
      <c r="AA78" s="9">
        <f t="shared" si="18"/>
        <v>0</v>
      </c>
      <c r="AB78" s="9">
        <f t="shared" si="18"/>
        <v>65182.21</v>
      </c>
      <c r="AC78" s="9">
        <f t="shared" si="18"/>
        <v>0</v>
      </c>
      <c r="AD78" s="9">
        <f t="shared" si="18"/>
        <v>0</v>
      </c>
      <c r="AE78" s="9">
        <f t="shared" si="18"/>
        <v>0</v>
      </c>
      <c r="AF78" s="9">
        <f t="shared" si="18"/>
        <v>0</v>
      </c>
      <c r="AG78" s="9">
        <f t="shared" si="18"/>
        <v>0</v>
      </c>
      <c r="AH78" s="9">
        <f t="shared" si="18"/>
        <v>0</v>
      </c>
      <c r="AI78" s="9">
        <f t="shared" si="18"/>
        <v>0</v>
      </c>
      <c r="AK78" s="412">
        <f t="shared" si="20"/>
        <v>65182.21</v>
      </c>
      <c r="AL78" s="412">
        <f t="shared" si="21"/>
        <v>-65182.21</v>
      </c>
    </row>
    <row r="79" spans="1:38" ht="14">
      <c r="A79" s="402" t="s">
        <v>951</v>
      </c>
      <c r="B79" s="404">
        <v>15012310</v>
      </c>
      <c r="C79" s="405" t="s">
        <v>603</v>
      </c>
      <c r="D79" s="405" t="s">
        <v>684</v>
      </c>
      <c r="E79" s="413">
        <v>110.5</v>
      </c>
      <c r="F79" s="439"/>
      <c r="G79" s="437">
        <v>20.239999999999998</v>
      </c>
      <c r="H79" s="449">
        <f>18.82+477.5</f>
        <v>496.32</v>
      </c>
      <c r="I79" s="450">
        <v>199.46</v>
      </c>
      <c r="K79" s="461">
        <f>163.72+585.96</f>
        <v>749.68000000000006</v>
      </c>
      <c r="L79" s="463">
        <v>551.67999999999995</v>
      </c>
      <c r="M79" s="477">
        <v>890.63</v>
      </c>
      <c r="N79" s="471">
        <f>279.22+219.99</f>
        <v>499.21000000000004</v>
      </c>
      <c r="P79" s="477">
        <v>113.73</v>
      </c>
      <c r="Q79" s="412">
        <f t="shared" si="19"/>
        <v>2804.9300000000003</v>
      </c>
      <c r="R79" s="456">
        <f t="shared" si="22"/>
        <v>467.4883333333334</v>
      </c>
      <c r="T79" s="9">
        <f t="shared" si="17"/>
        <v>0</v>
      </c>
      <c r="U79" s="9">
        <f t="shared" si="18"/>
        <v>0</v>
      </c>
      <c r="V79" s="9">
        <f t="shared" si="18"/>
        <v>0</v>
      </c>
      <c r="W79" s="9">
        <f t="shared" si="18"/>
        <v>0</v>
      </c>
      <c r="X79" s="9">
        <f t="shared" si="18"/>
        <v>0</v>
      </c>
      <c r="Y79" s="9">
        <f t="shared" si="18"/>
        <v>0</v>
      </c>
      <c r="Z79" s="9">
        <f t="shared" si="18"/>
        <v>0</v>
      </c>
      <c r="AA79" s="9">
        <f t="shared" si="18"/>
        <v>0</v>
      </c>
      <c r="AB79" s="9">
        <f t="shared" si="18"/>
        <v>0</v>
      </c>
      <c r="AC79" s="9">
        <f t="shared" si="18"/>
        <v>0</v>
      </c>
      <c r="AD79" s="9">
        <f t="shared" si="18"/>
        <v>0</v>
      </c>
      <c r="AE79" s="9">
        <f t="shared" si="18"/>
        <v>0</v>
      </c>
      <c r="AF79" s="9">
        <f t="shared" si="18"/>
        <v>0</v>
      </c>
      <c r="AG79" s="9">
        <f t="shared" si="18"/>
        <v>2804.9300000000003</v>
      </c>
      <c r="AH79" s="9">
        <f t="shared" si="18"/>
        <v>0</v>
      </c>
      <c r="AI79" s="9">
        <f t="shared" si="18"/>
        <v>0</v>
      </c>
      <c r="AK79" s="412">
        <f t="shared" si="20"/>
        <v>2804.9300000000003</v>
      </c>
      <c r="AL79" s="412">
        <f t="shared" si="21"/>
        <v>-2804.9300000000003</v>
      </c>
    </row>
    <row r="80" spans="1:38" ht="14">
      <c r="A80" s="402" t="s">
        <v>530</v>
      </c>
      <c r="B80" s="403">
        <v>15051245</v>
      </c>
      <c r="C80" s="402" t="s">
        <v>630</v>
      </c>
      <c r="D80" s="402" t="s">
        <v>630</v>
      </c>
      <c r="E80" s="413">
        <v>14746.06</v>
      </c>
      <c r="F80" s="423">
        <v>17879.41</v>
      </c>
      <c r="G80" s="437">
        <v>14543.76</v>
      </c>
      <c r="H80" s="449">
        <v>14331.85</v>
      </c>
      <c r="I80" s="450">
        <v>10385.56</v>
      </c>
      <c r="J80" s="453">
        <v>6304.2</v>
      </c>
      <c r="K80" s="461">
        <v>9596.42</v>
      </c>
      <c r="L80" s="463">
        <v>9920.01</v>
      </c>
      <c r="M80" s="468">
        <v>16049.02</v>
      </c>
      <c r="N80" s="471">
        <v>18494.05</v>
      </c>
      <c r="O80" s="474">
        <v>21252.47</v>
      </c>
      <c r="P80" s="477">
        <v>25717.94</v>
      </c>
      <c r="Q80" s="412">
        <f t="shared" si="19"/>
        <v>101029.91</v>
      </c>
      <c r="R80" s="456">
        <f t="shared" si="22"/>
        <v>16838.318333333333</v>
      </c>
      <c r="T80" s="9">
        <f t="shared" si="17"/>
        <v>0</v>
      </c>
      <c r="U80" s="9">
        <f t="shared" si="18"/>
        <v>0</v>
      </c>
      <c r="V80" s="9">
        <f t="shared" si="18"/>
        <v>0</v>
      </c>
      <c r="W80" s="9">
        <f t="shared" si="18"/>
        <v>0</v>
      </c>
      <c r="X80" s="9">
        <f t="shared" si="18"/>
        <v>0</v>
      </c>
      <c r="Y80" s="9">
        <f t="shared" si="18"/>
        <v>101029.91</v>
      </c>
      <c r="Z80" s="9">
        <f t="shared" si="18"/>
        <v>0</v>
      </c>
      <c r="AA80" s="9">
        <f t="shared" si="18"/>
        <v>0</v>
      </c>
      <c r="AB80" s="9">
        <f t="shared" si="18"/>
        <v>0</v>
      </c>
      <c r="AC80" s="9">
        <f t="shared" si="18"/>
        <v>0</v>
      </c>
      <c r="AD80" s="9">
        <f t="shared" si="18"/>
        <v>0</v>
      </c>
      <c r="AE80" s="9">
        <f t="shared" si="18"/>
        <v>0</v>
      </c>
      <c r="AF80" s="9">
        <f t="shared" si="18"/>
        <v>0</v>
      </c>
      <c r="AG80" s="9">
        <f t="shared" si="18"/>
        <v>0</v>
      </c>
      <c r="AH80" s="9">
        <f t="shared" si="18"/>
        <v>0</v>
      </c>
      <c r="AI80" s="9">
        <f t="shared" si="18"/>
        <v>0</v>
      </c>
      <c r="AK80" s="412">
        <f t="shared" si="20"/>
        <v>101029.91</v>
      </c>
      <c r="AL80" s="412">
        <f t="shared" si="21"/>
        <v>-101029.91</v>
      </c>
    </row>
    <row r="81" spans="1:38" ht="14">
      <c r="A81" s="402" t="s">
        <v>535</v>
      </c>
      <c r="B81" s="403">
        <v>7004001</v>
      </c>
      <c r="C81" s="402" t="s">
        <v>631</v>
      </c>
      <c r="D81" s="402" t="s">
        <v>731</v>
      </c>
      <c r="E81" s="423">
        <v>13960.78</v>
      </c>
      <c r="F81" s="423">
        <v>12363.82</v>
      </c>
      <c r="G81" s="437">
        <v>13944.78</v>
      </c>
      <c r="H81" s="450">
        <v>17002.23</v>
      </c>
      <c r="I81" s="450">
        <v>10194.4</v>
      </c>
      <c r="J81" s="453">
        <v>5368.58</v>
      </c>
      <c r="K81" s="461">
        <v>7387.76</v>
      </c>
      <c r="L81" s="468">
        <v>9123.24</v>
      </c>
      <c r="M81" s="471">
        <v>6605.52</v>
      </c>
      <c r="N81" s="413">
        <v>19708</v>
      </c>
      <c r="O81" s="413">
        <v>13373.44</v>
      </c>
      <c r="P81" s="413">
        <v>16370.06</v>
      </c>
      <c r="Q81" s="412">
        <f t="shared" si="19"/>
        <v>72568.02</v>
      </c>
      <c r="R81" s="456">
        <f t="shared" si="22"/>
        <v>12094.67</v>
      </c>
      <c r="T81" s="9">
        <f t="shared" si="17"/>
        <v>0</v>
      </c>
      <c r="U81" s="9">
        <f t="shared" si="18"/>
        <v>0</v>
      </c>
      <c r="V81" s="9">
        <f t="shared" si="18"/>
        <v>0</v>
      </c>
      <c r="W81" s="9">
        <f t="shared" si="18"/>
        <v>0</v>
      </c>
      <c r="X81" s="9">
        <f t="shared" si="18"/>
        <v>0</v>
      </c>
      <c r="Y81" s="9">
        <f t="shared" si="18"/>
        <v>0</v>
      </c>
      <c r="Z81" s="9">
        <f t="shared" si="18"/>
        <v>0</v>
      </c>
      <c r="AA81" s="9">
        <f t="shared" si="18"/>
        <v>72568.02</v>
      </c>
      <c r="AB81" s="9">
        <f t="shared" si="18"/>
        <v>0</v>
      </c>
      <c r="AC81" s="9">
        <f t="shared" si="18"/>
        <v>0</v>
      </c>
      <c r="AD81" s="9">
        <f t="shared" si="18"/>
        <v>0</v>
      </c>
      <c r="AE81" s="9">
        <f t="shared" si="18"/>
        <v>0</v>
      </c>
      <c r="AF81" s="9">
        <f t="shared" si="18"/>
        <v>0</v>
      </c>
      <c r="AG81" s="9">
        <f t="shared" si="18"/>
        <v>0</v>
      </c>
      <c r="AH81" s="9">
        <f t="shared" si="18"/>
        <v>0</v>
      </c>
      <c r="AI81" s="9">
        <f t="shared" si="18"/>
        <v>0</v>
      </c>
      <c r="AK81" s="412">
        <f t="shared" si="20"/>
        <v>72568.02</v>
      </c>
      <c r="AL81" s="412">
        <f t="shared" si="21"/>
        <v>-72568.02</v>
      </c>
    </row>
    <row r="82" spans="1:38" ht="14">
      <c r="A82" s="402" t="s">
        <v>537</v>
      </c>
      <c r="B82" s="403">
        <v>15036831</v>
      </c>
      <c r="C82" s="402" t="s">
        <v>364</v>
      </c>
      <c r="D82" s="402" t="s">
        <v>364</v>
      </c>
      <c r="E82" s="413">
        <v>14985.27</v>
      </c>
      <c r="F82" s="423">
        <v>12952.71</v>
      </c>
      <c r="G82" s="437">
        <v>17139.84</v>
      </c>
      <c r="H82" s="449">
        <v>16040.34</v>
      </c>
      <c r="I82" s="450">
        <v>14652.93</v>
      </c>
      <c r="J82" s="453">
        <v>9960.1299999999992</v>
      </c>
      <c r="K82" s="463">
        <v>13774.65</v>
      </c>
      <c r="L82" s="463">
        <v>13513.22</v>
      </c>
      <c r="M82" s="468">
        <v>16664.22</v>
      </c>
      <c r="N82" s="471">
        <v>20592.47</v>
      </c>
      <c r="O82" s="474">
        <v>18782.64</v>
      </c>
      <c r="P82" s="477">
        <v>23612.78</v>
      </c>
      <c r="Q82" s="412">
        <f t="shared" si="19"/>
        <v>106939.98</v>
      </c>
      <c r="R82" s="456">
        <f t="shared" si="22"/>
        <v>17823.329999999998</v>
      </c>
      <c r="T82" s="9">
        <f t="shared" si="17"/>
        <v>0</v>
      </c>
      <c r="U82" s="9">
        <f t="shared" si="18"/>
        <v>106939.98</v>
      </c>
      <c r="V82" s="9">
        <f t="shared" si="18"/>
        <v>0</v>
      </c>
      <c r="W82" s="9">
        <f t="shared" si="18"/>
        <v>0</v>
      </c>
      <c r="X82" s="9">
        <f t="shared" si="18"/>
        <v>0</v>
      </c>
      <c r="Y82" s="9">
        <f t="shared" si="18"/>
        <v>0</v>
      </c>
      <c r="Z82" s="9">
        <f t="shared" si="18"/>
        <v>0</v>
      </c>
      <c r="AA82" s="9">
        <f t="shared" si="18"/>
        <v>0</v>
      </c>
      <c r="AB82" s="9">
        <f t="shared" si="18"/>
        <v>0</v>
      </c>
      <c r="AC82" s="9">
        <f t="shared" si="18"/>
        <v>0</v>
      </c>
      <c r="AD82" s="9">
        <f t="shared" si="18"/>
        <v>0</v>
      </c>
      <c r="AE82" s="9">
        <f t="shared" si="18"/>
        <v>0</v>
      </c>
      <c r="AF82" s="9">
        <f t="shared" si="18"/>
        <v>0</v>
      </c>
      <c r="AG82" s="9">
        <f t="shared" si="18"/>
        <v>0</v>
      </c>
      <c r="AH82" s="9">
        <f t="shared" si="18"/>
        <v>0</v>
      </c>
      <c r="AI82" s="9">
        <f t="shared" si="18"/>
        <v>0</v>
      </c>
      <c r="AK82" s="412">
        <f t="shared" si="20"/>
        <v>106939.98</v>
      </c>
      <c r="AL82" s="412">
        <f t="shared" si="21"/>
        <v>-106939.98</v>
      </c>
    </row>
    <row r="83" spans="1:38" ht="14">
      <c r="A83" s="402" t="s">
        <v>951</v>
      </c>
      <c r="B83" s="403">
        <v>15068159</v>
      </c>
      <c r="C83" s="402"/>
      <c r="D83" s="402" t="s">
        <v>925</v>
      </c>
      <c r="E83" s="413">
        <v>21.25</v>
      </c>
      <c r="F83" s="439"/>
      <c r="G83" s="439"/>
      <c r="H83" s="439"/>
      <c r="I83" s="439"/>
      <c r="J83" s="439"/>
      <c r="K83" s="439"/>
      <c r="L83" s="439"/>
      <c r="M83" s="439"/>
      <c r="Q83" s="412">
        <f t="shared" si="19"/>
        <v>0</v>
      </c>
      <c r="R83" s="456">
        <f t="shared" si="22"/>
        <v>0</v>
      </c>
      <c r="T83" s="9">
        <f t="shared" si="17"/>
        <v>0</v>
      </c>
      <c r="U83" s="9">
        <f t="shared" si="18"/>
        <v>0</v>
      </c>
      <c r="V83" s="9">
        <f t="shared" si="18"/>
        <v>0</v>
      </c>
      <c r="W83" s="9">
        <f t="shared" si="18"/>
        <v>0</v>
      </c>
      <c r="X83" s="9">
        <f t="shared" si="18"/>
        <v>0</v>
      </c>
      <c r="Y83" s="9">
        <f t="shared" si="18"/>
        <v>0</v>
      </c>
      <c r="Z83" s="9">
        <f t="shared" si="18"/>
        <v>0</v>
      </c>
      <c r="AA83" s="9">
        <f t="shared" si="18"/>
        <v>0</v>
      </c>
      <c r="AB83" s="9">
        <f t="shared" si="18"/>
        <v>0</v>
      </c>
      <c r="AC83" s="9">
        <f t="shared" si="18"/>
        <v>0</v>
      </c>
      <c r="AD83" s="9">
        <f t="shared" si="18"/>
        <v>0</v>
      </c>
      <c r="AE83" s="9">
        <f t="shared" si="18"/>
        <v>0</v>
      </c>
      <c r="AF83" s="9">
        <f t="shared" si="18"/>
        <v>0</v>
      </c>
      <c r="AG83" s="9">
        <f t="shared" si="18"/>
        <v>0</v>
      </c>
      <c r="AH83" s="9">
        <f t="shared" si="18"/>
        <v>0</v>
      </c>
      <c r="AI83" s="9">
        <f t="shared" si="18"/>
        <v>0</v>
      </c>
      <c r="AK83" s="412">
        <f t="shared" si="20"/>
        <v>0</v>
      </c>
      <c r="AL83" s="412">
        <f t="shared" si="21"/>
        <v>0</v>
      </c>
    </row>
    <row r="84" spans="1:38" ht="14">
      <c r="A84" s="402" t="s">
        <v>951</v>
      </c>
      <c r="B84" s="403">
        <v>15016222</v>
      </c>
      <c r="C84" s="402"/>
      <c r="D84" s="402" t="s">
        <v>953</v>
      </c>
      <c r="E84" s="439"/>
      <c r="F84" s="439"/>
      <c r="G84" s="439"/>
      <c r="H84" s="449">
        <v>81.75</v>
      </c>
      <c r="I84" s="450">
        <v>118.37</v>
      </c>
      <c r="J84" s="453">
        <v>24.65</v>
      </c>
      <c r="K84" s="439"/>
      <c r="L84" s="439"/>
      <c r="M84" s="439"/>
      <c r="Q84" s="412">
        <f t="shared" si="19"/>
        <v>0</v>
      </c>
      <c r="R84" s="456">
        <f t="shared" si="22"/>
        <v>0</v>
      </c>
      <c r="T84" s="9">
        <f t="shared" si="17"/>
        <v>0</v>
      </c>
      <c r="U84" s="9">
        <f t="shared" si="18"/>
        <v>0</v>
      </c>
      <c r="V84" s="9">
        <f t="shared" si="18"/>
        <v>0</v>
      </c>
      <c r="W84" s="9">
        <f t="shared" si="18"/>
        <v>0</v>
      </c>
      <c r="X84" s="9">
        <f t="shared" si="18"/>
        <v>0</v>
      </c>
      <c r="Y84" s="9">
        <f t="shared" si="18"/>
        <v>0</v>
      </c>
      <c r="Z84" s="9">
        <f t="shared" si="18"/>
        <v>0</v>
      </c>
      <c r="AA84" s="9">
        <f t="shared" si="18"/>
        <v>0</v>
      </c>
      <c r="AB84" s="9">
        <f t="shared" si="18"/>
        <v>0</v>
      </c>
      <c r="AC84" s="9">
        <f t="shared" si="18"/>
        <v>0</v>
      </c>
      <c r="AD84" s="9">
        <f t="shared" si="18"/>
        <v>0</v>
      </c>
      <c r="AE84" s="9">
        <f t="shared" si="18"/>
        <v>0</v>
      </c>
      <c r="AF84" s="9">
        <f t="shared" si="18"/>
        <v>0</v>
      </c>
      <c r="AG84" s="9">
        <f t="shared" si="18"/>
        <v>0</v>
      </c>
      <c r="AH84" s="9">
        <f t="shared" si="18"/>
        <v>0</v>
      </c>
      <c r="AI84" s="9">
        <f t="shared" ref="U84:AI100" si="23">+IF($A84=AI$3,$Q84,0)</f>
        <v>0</v>
      </c>
      <c r="AK84" s="412">
        <f t="shared" si="20"/>
        <v>0</v>
      </c>
      <c r="AL84" s="412">
        <f t="shared" si="21"/>
        <v>0</v>
      </c>
    </row>
    <row r="85" spans="1:38" ht="14">
      <c r="A85" s="402" t="s">
        <v>530</v>
      </c>
      <c r="B85" s="404">
        <v>15059439</v>
      </c>
      <c r="C85" s="405" t="s">
        <v>843</v>
      </c>
      <c r="D85" s="405" t="s">
        <v>280</v>
      </c>
      <c r="E85" s="413">
        <v>5481.51</v>
      </c>
      <c r="F85" s="423">
        <v>5539.69</v>
      </c>
      <c r="G85" s="437">
        <v>4529.4799999999996</v>
      </c>
      <c r="H85" s="449">
        <v>5388.18</v>
      </c>
      <c r="I85" s="450">
        <v>4932.2299999999996</v>
      </c>
      <c r="J85" s="453">
        <v>4494.04</v>
      </c>
      <c r="K85" s="461">
        <v>3532.95</v>
      </c>
      <c r="L85" s="463">
        <v>3082.44</v>
      </c>
      <c r="M85" s="468">
        <v>4837.8900000000003</v>
      </c>
      <c r="N85" s="471">
        <v>8382.1299999999992</v>
      </c>
      <c r="O85" s="474">
        <v>8749.0499999999993</v>
      </c>
      <c r="P85" s="477">
        <v>12587.55</v>
      </c>
      <c r="Q85" s="412">
        <f t="shared" si="19"/>
        <v>41172.009999999995</v>
      </c>
      <c r="R85" s="456">
        <f t="shared" si="22"/>
        <v>6862.0016666666661</v>
      </c>
      <c r="T85" s="9">
        <f t="shared" si="17"/>
        <v>0</v>
      </c>
      <c r="U85" s="9">
        <f t="shared" si="23"/>
        <v>0</v>
      </c>
      <c r="V85" s="9">
        <f t="shared" si="23"/>
        <v>0</v>
      </c>
      <c r="W85" s="9">
        <f t="shared" si="23"/>
        <v>0</v>
      </c>
      <c r="X85" s="9">
        <f t="shared" si="23"/>
        <v>0</v>
      </c>
      <c r="Y85" s="9">
        <f t="shared" si="23"/>
        <v>41172.009999999995</v>
      </c>
      <c r="Z85" s="9">
        <f t="shared" si="23"/>
        <v>0</v>
      </c>
      <c r="AA85" s="9">
        <f t="shared" si="23"/>
        <v>0</v>
      </c>
      <c r="AB85" s="9">
        <f t="shared" si="23"/>
        <v>0</v>
      </c>
      <c r="AC85" s="9">
        <f t="shared" si="23"/>
        <v>0</v>
      </c>
      <c r="AD85" s="9">
        <f t="shared" si="23"/>
        <v>0</v>
      </c>
      <c r="AE85" s="9">
        <f t="shared" si="23"/>
        <v>0</v>
      </c>
      <c r="AF85" s="9">
        <f t="shared" si="23"/>
        <v>0</v>
      </c>
      <c r="AG85" s="9">
        <f t="shared" si="23"/>
        <v>0</v>
      </c>
      <c r="AH85" s="9">
        <f t="shared" si="23"/>
        <v>0</v>
      </c>
      <c r="AI85" s="9">
        <f t="shared" si="23"/>
        <v>0</v>
      </c>
      <c r="AK85" s="412">
        <f t="shared" si="20"/>
        <v>41172.009999999995</v>
      </c>
      <c r="AL85" s="412">
        <f t="shared" si="21"/>
        <v>-41172.009999999995</v>
      </c>
    </row>
    <row r="86" spans="1:38" ht="14">
      <c r="A86" s="402" t="s">
        <v>661</v>
      </c>
      <c r="B86" s="403">
        <v>15062798</v>
      </c>
      <c r="C86" s="402" t="s">
        <v>281</v>
      </c>
      <c r="D86" s="402" t="s">
        <v>281</v>
      </c>
      <c r="E86" s="413">
        <v>2158.15</v>
      </c>
      <c r="F86" s="423">
        <v>2233.29</v>
      </c>
      <c r="G86" s="437">
        <v>1948.02</v>
      </c>
      <c r="H86" s="449">
        <v>1972.77</v>
      </c>
      <c r="I86" s="450">
        <v>2086.2399999999998</v>
      </c>
      <c r="J86" s="453">
        <v>2000.33</v>
      </c>
      <c r="K86" s="461">
        <v>1971.13</v>
      </c>
      <c r="L86" s="463">
        <v>1100.4100000000001</v>
      </c>
      <c r="M86" s="468">
        <v>1966.39</v>
      </c>
      <c r="N86" s="471">
        <v>1493.88</v>
      </c>
      <c r="O86" s="474">
        <v>2180.17</v>
      </c>
      <c r="P86" s="477">
        <v>2113.9499999999998</v>
      </c>
      <c r="Q86" s="412">
        <f t="shared" si="19"/>
        <v>10825.93</v>
      </c>
      <c r="R86" s="456">
        <f t="shared" si="22"/>
        <v>1804.3216666666667</v>
      </c>
      <c r="T86" s="9">
        <f t="shared" si="17"/>
        <v>0</v>
      </c>
      <c r="U86" s="9">
        <f t="shared" si="23"/>
        <v>0</v>
      </c>
      <c r="V86" s="9">
        <f t="shared" si="23"/>
        <v>0</v>
      </c>
      <c r="W86" s="9">
        <f t="shared" si="23"/>
        <v>0</v>
      </c>
      <c r="X86" s="9">
        <f t="shared" si="23"/>
        <v>0</v>
      </c>
      <c r="Y86" s="9">
        <f t="shared" si="23"/>
        <v>0</v>
      </c>
      <c r="Z86" s="9">
        <f t="shared" si="23"/>
        <v>0</v>
      </c>
      <c r="AA86" s="9">
        <f t="shared" si="23"/>
        <v>0</v>
      </c>
      <c r="AB86" s="9">
        <f t="shared" si="23"/>
        <v>0</v>
      </c>
      <c r="AC86" s="9">
        <f t="shared" si="23"/>
        <v>0</v>
      </c>
      <c r="AD86" s="9">
        <f t="shared" si="23"/>
        <v>0</v>
      </c>
      <c r="AE86" s="9">
        <f t="shared" si="23"/>
        <v>0</v>
      </c>
      <c r="AF86" s="9">
        <f t="shared" si="23"/>
        <v>10825.93</v>
      </c>
      <c r="AG86" s="9">
        <f t="shared" si="23"/>
        <v>0</v>
      </c>
      <c r="AH86" s="9">
        <f t="shared" si="23"/>
        <v>0</v>
      </c>
      <c r="AI86" s="9">
        <f t="shared" si="23"/>
        <v>0</v>
      </c>
      <c r="AK86" s="412">
        <f t="shared" si="20"/>
        <v>10825.93</v>
      </c>
      <c r="AL86" s="412">
        <f t="shared" si="21"/>
        <v>-10825.93</v>
      </c>
    </row>
    <row r="87" spans="1:38" ht="14">
      <c r="A87" s="402" t="s">
        <v>660</v>
      </c>
      <c r="B87" s="403">
        <v>15051246</v>
      </c>
      <c r="C87" s="402" t="s">
        <v>91</v>
      </c>
      <c r="D87" s="402" t="s">
        <v>91</v>
      </c>
      <c r="E87" s="413">
        <v>13161.83</v>
      </c>
      <c r="F87" s="423">
        <v>17113.990000000002</v>
      </c>
      <c r="G87" s="437">
        <v>13014.61</v>
      </c>
      <c r="H87" s="449">
        <v>21267</v>
      </c>
      <c r="I87" s="450">
        <v>11230.54</v>
      </c>
      <c r="J87" s="453">
        <v>6484.74</v>
      </c>
      <c r="K87" s="461">
        <v>9167.08</v>
      </c>
      <c r="L87" s="463">
        <v>12199.37</v>
      </c>
      <c r="M87" s="468">
        <v>16252.51</v>
      </c>
      <c r="N87" s="471">
        <v>20923.09</v>
      </c>
      <c r="O87" s="474">
        <v>20121.46</v>
      </c>
      <c r="P87" s="477">
        <v>26478.27</v>
      </c>
      <c r="Q87" s="412">
        <f t="shared" si="19"/>
        <v>105141.78000000001</v>
      </c>
      <c r="R87" s="456">
        <f t="shared" si="22"/>
        <v>17523.63</v>
      </c>
      <c r="T87" s="9">
        <f t="shared" si="17"/>
        <v>0</v>
      </c>
      <c r="U87" s="9">
        <f t="shared" si="23"/>
        <v>0</v>
      </c>
      <c r="V87" s="9">
        <f t="shared" si="23"/>
        <v>0</v>
      </c>
      <c r="W87" s="9">
        <f t="shared" si="23"/>
        <v>0</v>
      </c>
      <c r="X87" s="9">
        <f t="shared" si="23"/>
        <v>0</v>
      </c>
      <c r="Y87" s="9">
        <f t="shared" si="23"/>
        <v>0</v>
      </c>
      <c r="Z87" s="9">
        <f t="shared" si="23"/>
        <v>0</v>
      </c>
      <c r="AA87" s="9">
        <f t="shared" si="23"/>
        <v>0</v>
      </c>
      <c r="AB87" s="9">
        <f t="shared" si="23"/>
        <v>0</v>
      </c>
      <c r="AC87" s="9">
        <f t="shared" si="23"/>
        <v>0</v>
      </c>
      <c r="AD87" s="9">
        <f t="shared" si="23"/>
        <v>0</v>
      </c>
      <c r="AE87" s="9">
        <f t="shared" si="23"/>
        <v>0</v>
      </c>
      <c r="AF87" s="9">
        <f t="shared" si="23"/>
        <v>105141.78000000001</v>
      </c>
      <c r="AG87" s="9">
        <f t="shared" si="23"/>
        <v>0</v>
      </c>
      <c r="AH87" s="9">
        <f t="shared" si="23"/>
        <v>0</v>
      </c>
      <c r="AI87" s="9">
        <f t="shared" si="23"/>
        <v>0</v>
      </c>
      <c r="AK87" s="412">
        <f t="shared" si="20"/>
        <v>105141.78000000001</v>
      </c>
      <c r="AL87" s="412">
        <f t="shared" si="21"/>
        <v>-105141.78000000001</v>
      </c>
    </row>
    <row r="88" spans="1:38" ht="14">
      <c r="A88" s="402" t="s">
        <v>704</v>
      </c>
      <c r="B88" s="403">
        <v>15032636</v>
      </c>
      <c r="C88" s="402" t="s">
        <v>624</v>
      </c>
      <c r="D88" s="402" t="s">
        <v>574</v>
      </c>
      <c r="E88" s="413">
        <v>15638.34</v>
      </c>
      <c r="F88" s="423">
        <v>14150.39</v>
      </c>
      <c r="G88" s="437">
        <v>16035.56</v>
      </c>
      <c r="H88" s="449">
        <v>18225.53</v>
      </c>
      <c r="I88" s="450">
        <v>16561.169999999998</v>
      </c>
      <c r="J88" s="453">
        <v>15202.47</v>
      </c>
      <c r="K88" s="461">
        <v>15357.56</v>
      </c>
      <c r="L88" s="463">
        <v>14800.63</v>
      </c>
      <c r="M88" s="468">
        <v>18716.57</v>
      </c>
      <c r="N88" s="471">
        <v>20085.16</v>
      </c>
      <c r="O88" s="474">
        <v>23226.85</v>
      </c>
      <c r="P88" s="477">
        <v>23938.41</v>
      </c>
      <c r="Q88" s="412">
        <f t="shared" si="19"/>
        <v>116125.18</v>
      </c>
      <c r="R88" s="456">
        <f t="shared" si="22"/>
        <v>19354.196666666667</v>
      </c>
      <c r="T88" s="9">
        <f t="shared" si="17"/>
        <v>0</v>
      </c>
      <c r="U88" s="9">
        <f t="shared" si="23"/>
        <v>0</v>
      </c>
      <c r="V88" s="9">
        <f t="shared" si="23"/>
        <v>0</v>
      </c>
      <c r="W88" s="9">
        <f t="shared" si="23"/>
        <v>0</v>
      </c>
      <c r="X88" s="9">
        <f t="shared" si="23"/>
        <v>0</v>
      </c>
      <c r="Y88" s="9">
        <f t="shared" si="23"/>
        <v>0</v>
      </c>
      <c r="Z88" s="9">
        <f t="shared" si="23"/>
        <v>0</v>
      </c>
      <c r="AA88" s="9">
        <f t="shared" si="23"/>
        <v>0</v>
      </c>
      <c r="AB88" s="9">
        <f t="shared" si="23"/>
        <v>0</v>
      </c>
      <c r="AC88" s="9">
        <f t="shared" si="23"/>
        <v>0</v>
      </c>
      <c r="AD88" s="9">
        <f t="shared" si="23"/>
        <v>0</v>
      </c>
      <c r="AE88" s="9">
        <f t="shared" si="23"/>
        <v>0</v>
      </c>
      <c r="AF88" s="9">
        <f t="shared" si="23"/>
        <v>0</v>
      </c>
      <c r="AG88" s="9">
        <f t="shared" si="23"/>
        <v>0</v>
      </c>
      <c r="AH88" s="9">
        <f t="shared" si="23"/>
        <v>116125.18</v>
      </c>
      <c r="AI88" s="9">
        <f t="shared" si="23"/>
        <v>0</v>
      </c>
      <c r="AK88" s="412">
        <f t="shared" si="20"/>
        <v>116125.18</v>
      </c>
      <c r="AL88" s="412">
        <f t="shared" si="21"/>
        <v>-116125.18</v>
      </c>
    </row>
    <row r="89" spans="1:38" ht="14">
      <c r="A89" s="402" t="s">
        <v>951</v>
      </c>
      <c r="B89" s="403">
        <v>13032900</v>
      </c>
      <c r="C89" s="402" t="s">
        <v>569</v>
      </c>
      <c r="D89" s="402" t="s">
        <v>568</v>
      </c>
      <c r="E89" s="413">
        <v>176.67</v>
      </c>
      <c r="F89" s="439"/>
      <c r="G89" s="437">
        <v>124.1</v>
      </c>
      <c r="H89" s="439"/>
      <c r="I89" s="439"/>
      <c r="J89" s="439"/>
      <c r="K89" s="439"/>
      <c r="L89" s="439"/>
      <c r="M89" s="439"/>
      <c r="Q89" s="412">
        <f t="shared" si="19"/>
        <v>0</v>
      </c>
      <c r="R89" s="456">
        <f t="shared" si="22"/>
        <v>0</v>
      </c>
      <c r="T89" s="9">
        <f t="shared" si="17"/>
        <v>0</v>
      </c>
      <c r="U89" s="9">
        <f t="shared" si="23"/>
        <v>0</v>
      </c>
      <c r="V89" s="9">
        <f t="shared" si="23"/>
        <v>0</v>
      </c>
      <c r="W89" s="9">
        <f t="shared" si="23"/>
        <v>0</v>
      </c>
      <c r="X89" s="9">
        <f t="shared" si="23"/>
        <v>0</v>
      </c>
      <c r="Y89" s="9">
        <f t="shared" si="23"/>
        <v>0</v>
      </c>
      <c r="Z89" s="9">
        <f t="shared" si="23"/>
        <v>0</v>
      </c>
      <c r="AA89" s="9">
        <f t="shared" si="23"/>
        <v>0</v>
      </c>
      <c r="AB89" s="9">
        <f t="shared" si="23"/>
        <v>0</v>
      </c>
      <c r="AC89" s="9">
        <f t="shared" si="23"/>
        <v>0</v>
      </c>
      <c r="AD89" s="9">
        <f t="shared" si="23"/>
        <v>0</v>
      </c>
      <c r="AE89" s="9">
        <f t="shared" si="23"/>
        <v>0</v>
      </c>
      <c r="AF89" s="9">
        <f t="shared" si="23"/>
        <v>0</v>
      </c>
      <c r="AG89" s="9">
        <f t="shared" si="23"/>
        <v>0</v>
      </c>
      <c r="AH89" s="9">
        <f t="shared" si="23"/>
        <v>0</v>
      </c>
      <c r="AI89" s="9">
        <f t="shared" si="23"/>
        <v>0</v>
      </c>
      <c r="AK89" s="412">
        <f t="shared" si="20"/>
        <v>0</v>
      </c>
      <c r="AL89" s="412">
        <f t="shared" si="21"/>
        <v>0</v>
      </c>
    </row>
    <row r="90" spans="1:38" ht="14">
      <c r="A90" s="402" t="s">
        <v>705</v>
      </c>
      <c r="B90" s="403">
        <v>7004900</v>
      </c>
      <c r="C90" s="402" t="s">
        <v>393</v>
      </c>
      <c r="D90" s="402" t="s">
        <v>393</v>
      </c>
      <c r="E90" s="413">
        <v>460.28</v>
      </c>
      <c r="F90" s="423">
        <v>499.8</v>
      </c>
      <c r="G90" s="437">
        <v>400.86</v>
      </c>
      <c r="H90" s="449">
        <v>450.92</v>
      </c>
      <c r="I90" s="450">
        <v>419.05</v>
      </c>
      <c r="J90" s="453">
        <v>383.77</v>
      </c>
      <c r="K90" s="461">
        <v>410.12</v>
      </c>
      <c r="L90" s="463">
        <v>451.77</v>
      </c>
      <c r="M90" s="468">
        <v>422.45</v>
      </c>
      <c r="N90" s="471">
        <v>455.17</v>
      </c>
      <c r="O90" s="474">
        <v>482.8</v>
      </c>
      <c r="P90" s="477">
        <v>454.75</v>
      </c>
      <c r="Q90" s="412">
        <f t="shared" si="19"/>
        <v>2677.06</v>
      </c>
      <c r="R90" s="456">
        <f t="shared" si="22"/>
        <v>446.17666666666668</v>
      </c>
      <c r="T90" s="9">
        <f t="shared" si="17"/>
        <v>0</v>
      </c>
      <c r="U90" s="9">
        <f t="shared" si="23"/>
        <v>0</v>
      </c>
      <c r="V90" s="9">
        <f t="shared" si="23"/>
        <v>0</v>
      </c>
      <c r="W90" s="9">
        <f t="shared" si="23"/>
        <v>0</v>
      </c>
      <c r="X90" s="9">
        <f t="shared" si="23"/>
        <v>0</v>
      </c>
      <c r="Y90" s="9">
        <f t="shared" si="23"/>
        <v>0</v>
      </c>
      <c r="Z90" s="9">
        <f t="shared" si="23"/>
        <v>0</v>
      </c>
      <c r="AA90" s="9">
        <f t="shared" si="23"/>
        <v>0</v>
      </c>
      <c r="AB90" s="9">
        <f t="shared" si="23"/>
        <v>0</v>
      </c>
      <c r="AC90" s="9">
        <f t="shared" si="23"/>
        <v>0</v>
      </c>
      <c r="AD90" s="9">
        <f t="shared" si="23"/>
        <v>0</v>
      </c>
      <c r="AE90" s="9">
        <f t="shared" si="23"/>
        <v>0</v>
      </c>
      <c r="AF90" s="9">
        <f t="shared" si="23"/>
        <v>0</v>
      </c>
      <c r="AG90" s="9">
        <f t="shared" si="23"/>
        <v>0</v>
      </c>
      <c r="AH90" s="9">
        <f t="shared" si="23"/>
        <v>2677.06</v>
      </c>
      <c r="AI90" s="9">
        <f t="shared" si="23"/>
        <v>0</v>
      </c>
      <c r="AK90" s="412">
        <f t="shared" si="20"/>
        <v>2677.06</v>
      </c>
      <c r="AL90" s="412">
        <f t="shared" si="21"/>
        <v>-2677.06</v>
      </c>
    </row>
    <row r="91" spans="1:38" ht="14">
      <c r="A91" s="402" t="s">
        <v>659</v>
      </c>
      <c r="B91" s="403">
        <v>15054341</v>
      </c>
      <c r="C91" s="402" t="s">
        <v>669</v>
      </c>
      <c r="D91" s="402" t="s">
        <v>502</v>
      </c>
      <c r="E91" s="413">
        <v>4164.4399999999996</v>
      </c>
      <c r="F91" s="423">
        <v>3934.65</v>
      </c>
      <c r="G91" s="437">
        <v>3216.86</v>
      </c>
      <c r="H91" s="449">
        <v>3747.1</v>
      </c>
      <c r="I91" s="450">
        <v>2749.37</v>
      </c>
      <c r="J91" s="453">
        <v>2858.74</v>
      </c>
      <c r="K91" s="461">
        <v>3184.65</v>
      </c>
      <c r="L91" s="463">
        <v>5537.77</v>
      </c>
      <c r="M91" s="468">
        <v>4289.18</v>
      </c>
      <c r="N91" s="471">
        <v>5414.11</v>
      </c>
      <c r="O91" s="474">
        <v>5532.49</v>
      </c>
      <c r="P91" s="477">
        <v>5156.46</v>
      </c>
      <c r="Q91" s="412">
        <f t="shared" si="19"/>
        <v>29114.659999999996</v>
      </c>
      <c r="R91" s="456">
        <f t="shared" si="22"/>
        <v>4852.4433333333327</v>
      </c>
      <c r="T91" s="9">
        <f t="shared" si="17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29114.659999999996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>
        <f t="shared" si="23"/>
        <v>0</v>
      </c>
      <c r="AK91" s="412">
        <f t="shared" si="20"/>
        <v>29114.659999999996</v>
      </c>
      <c r="AL91" s="412">
        <f t="shared" si="21"/>
        <v>-29114.659999999996</v>
      </c>
    </row>
    <row r="92" spans="1:38" ht="14">
      <c r="A92" s="402" t="s">
        <v>659</v>
      </c>
      <c r="B92" s="403">
        <v>15060725</v>
      </c>
      <c r="C92" s="402" t="s">
        <v>846</v>
      </c>
      <c r="D92" s="402" t="s">
        <v>846</v>
      </c>
      <c r="E92" s="413">
        <v>5994.01</v>
      </c>
      <c r="F92" s="423">
        <v>5982.51</v>
      </c>
      <c r="G92" s="437">
        <v>5958.9</v>
      </c>
      <c r="H92" s="449">
        <v>5834.24</v>
      </c>
      <c r="I92" s="450">
        <v>5179.24</v>
      </c>
      <c r="J92" s="453">
        <v>5088.95</v>
      </c>
      <c r="K92" s="461">
        <v>6259.55</v>
      </c>
      <c r="L92" s="463">
        <v>5063.7</v>
      </c>
      <c r="M92" s="468">
        <v>6712.78</v>
      </c>
      <c r="N92" s="471">
        <v>7486.3</v>
      </c>
      <c r="O92" s="474">
        <v>5884.76</v>
      </c>
      <c r="P92" s="477">
        <v>7046.72</v>
      </c>
      <c r="Q92" s="412">
        <f t="shared" si="19"/>
        <v>38453.81</v>
      </c>
      <c r="R92" s="456">
        <f t="shared" si="22"/>
        <v>6408.9683333333332</v>
      </c>
      <c r="T92" s="9">
        <f t="shared" si="17"/>
        <v>0</v>
      </c>
      <c r="U92" s="9">
        <f t="shared" si="23"/>
        <v>0</v>
      </c>
      <c r="V92" s="9">
        <f t="shared" si="23"/>
        <v>0</v>
      </c>
      <c r="W92" s="9">
        <f t="shared" si="23"/>
        <v>0</v>
      </c>
      <c r="X92" s="9">
        <f t="shared" si="23"/>
        <v>0</v>
      </c>
      <c r="Y92" s="9">
        <f t="shared" si="23"/>
        <v>0</v>
      </c>
      <c r="Z92" s="9">
        <f t="shared" si="23"/>
        <v>0</v>
      </c>
      <c r="AA92" s="9">
        <f t="shared" si="23"/>
        <v>0</v>
      </c>
      <c r="AB92" s="9">
        <f t="shared" si="23"/>
        <v>0</v>
      </c>
      <c r="AC92" s="9">
        <f t="shared" si="23"/>
        <v>0</v>
      </c>
      <c r="AD92" s="9">
        <f t="shared" si="23"/>
        <v>0</v>
      </c>
      <c r="AE92" s="9">
        <f t="shared" si="23"/>
        <v>38453.81</v>
      </c>
      <c r="AF92" s="9">
        <f t="shared" si="23"/>
        <v>0</v>
      </c>
      <c r="AG92" s="9">
        <f t="shared" si="23"/>
        <v>0</v>
      </c>
      <c r="AH92" s="9">
        <f t="shared" si="23"/>
        <v>0</v>
      </c>
      <c r="AI92" s="9">
        <f t="shared" si="23"/>
        <v>0</v>
      </c>
      <c r="AK92" s="412">
        <f t="shared" si="20"/>
        <v>38453.81</v>
      </c>
      <c r="AL92" s="412">
        <f t="shared" si="21"/>
        <v>-38453.81</v>
      </c>
    </row>
    <row r="93" spans="1:38" ht="14">
      <c r="A93" s="402" t="s">
        <v>951</v>
      </c>
      <c r="B93" s="403">
        <v>15068982</v>
      </c>
      <c r="C93" s="402"/>
      <c r="D93" s="402" t="s">
        <v>924</v>
      </c>
      <c r="E93" s="413">
        <v>2572.87</v>
      </c>
      <c r="F93" s="423">
        <v>3153.5</v>
      </c>
      <c r="G93" s="437">
        <v>1549.21</v>
      </c>
      <c r="H93" s="449">
        <v>2303.5</v>
      </c>
      <c r="I93" s="453">
        <v>1581</v>
      </c>
      <c r="J93" s="453">
        <v>867</v>
      </c>
      <c r="K93" s="463">
        <v>632.88</v>
      </c>
      <c r="L93" s="463">
        <v>768.6</v>
      </c>
      <c r="M93" s="468">
        <v>593.9</v>
      </c>
      <c r="N93" s="471">
        <v>1117.19</v>
      </c>
      <c r="O93" s="474">
        <v>2030.65</v>
      </c>
      <c r="P93" s="477">
        <v>5182.71</v>
      </c>
      <c r="Q93" s="412">
        <f t="shared" si="19"/>
        <v>10325.93</v>
      </c>
      <c r="R93" s="456">
        <f t="shared" si="22"/>
        <v>1720.9883333333335</v>
      </c>
      <c r="T93" s="9">
        <f t="shared" si="17"/>
        <v>0</v>
      </c>
      <c r="U93" s="9">
        <f t="shared" si="23"/>
        <v>0</v>
      </c>
      <c r="V93" s="9">
        <f t="shared" si="23"/>
        <v>0</v>
      </c>
      <c r="W93" s="9">
        <f t="shared" si="23"/>
        <v>0</v>
      </c>
      <c r="X93" s="9">
        <f t="shared" si="23"/>
        <v>0</v>
      </c>
      <c r="Y93" s="9">
        <f t="shared" si="23"/>
        <v>0</v>
      </c>
      <c r="Z93" s="9">
        <f t="shared" si="23"/>
        <v>0</v>
      </c>
      <c r="AA93" s="9">
        <f t="shared" si="23"/>
        <v>0</v>
      </c>
      <c r="AB93" s="9">
        <f t="shared" si="23"/>
        <v>0</v>
      </c>
      <c r="AC93" s="9">
        <f t="shared" si="23"/>
        <v>0</v>
      </c>
      <c r="AD93" s="9">
        <f t="shared" si="23"/>
        <v>0</v>
      </c>
      <c r="AE93" s="9">
        <f t="shared" si="23"/>
        <v>0</v>
      </c>
      <c r="AF93" s="9">
        <f t="shared" si="23"/>
        <v>0</v>
      </c>
      <c r="AG93" s="9">
        <f t="shared" si="23"/>
        <v>10325.93</v>
      </c>
      <c r="AH93" s="9">
        <f t="shared" si="23"/>
        <v>0</v>
      </c>
      <c r="AI93" s="9">
        <f t="shared" si="23"/>
        <v>0</v>
      </c>
      <c r="AK93" s="412">
        <f t="shared" si="20"/>
        <v>10325.93</v>
      </c>
      <c r="AL93" s="412">
        <f t="shared" si="21"/>
        <v>-10325.93</v>
      </c>
    </row>
    <row r="94" spans="1:38" ht="14">
      <c r="A94" s="402" t="s">
        <v>705</v>
      </c>
      <c r="B94" s="403">
        <v>7009800</v>
      </c>
      <c r="C94" s="402" t="s">
        <v>113</v>
      </c>
      <c r="D94" s="402" t="s">
        <v>102</v>
      </c>
      <c r="E94" s="413">
        <v>235.64</v>
      </c>
      <c r="F94" s="423">
        <v>114.75</v>
      </c>
      <c r="G94" s="437">
        <v>80.2</v>
      </c>
      <c r="H94" s="439"/>
      <c r="I94" s="450">
        <v>284.75</v>
      </c>
      <c r="J94" s="439"/>
      <c r="K94" s="461">
        <v>165.75</v>
      </c>
      <c r="L94" s="463">
        <v>111.04</v>
      </c>
      <c r="O94" s="474">
        <v>297.56</v>
      </c>
      <c r="P94" s="477">
        <v>73.239999999999995</v>
      </c>
      <c r="Q94" s="412">
        <f t="shared" si="19"/>
        <v>647.59</v>
      </c>
      <c r="R94" s="456">
        <f t="shared" si="22"/>
        <v>107.93166666666667</v>
      </c>
      <c r="T94" s="9">
        <f t="shared" si="17"/>
        <v>0</v>
      </c>
      <c r="U94" s="9">
        <f t="shared" si="23"/>
        <v>0</v>
      </c>
      <c r="V94" s="9">
        <f t="shared" si="23"/>
        <v>0</v>
      </c>
      <c r="W94" s="9">
        <f t="shared" si="23"/>
        <v>0</v>
      </c>
      <c r="X94" s="9">
        <f t="shared" si="23"/>
        <v>0</v>
      </c>
      <c r="Y94" s="9">
        <f t="shared" si="23"/>
        <v>0</v>
      </c>
      <c r="Z94" s="9">
        <f t="shared" si="23"/>
        <v>0</v>
      </c>
      <c r="AA94" s="9">
        <f t="shared" si="23"/>
        <v>0</v>
      </c>
      <c r="AB94" s="9">
        <f t="shared" si="23"/>
        <v>0</v>
      </c>
      <c r="AC94" s="9">
        <f t="shared" si="23"/>
        <v>0</v>
      </c>
      <c r="AD94" s="9">
        <f t="shared" si="23"/>
        <v>0</v>
      </c>
      <c r="AE94" s="9">
        <f t="shared" si="23"/>
        <v>0</v>
      </c>
      <c r="AF94" s="9">
        <f t="shared" si="23"/>
        <v>0</v>
      </c>
      <c r="AG94" s="9">
        <f t="shared" si="23"/>
        <v>0</v>
      </c>
      <c r="AH94" s="9">
        <f t="shared" si="23"/>
        <v>647.59</v>
      </c>
      <c r="AI94" s="9">
        <f t="shared" si="23"/>
        <v>0</v>
      </c>
      <c r="AK94" s="412">
        <f t="shared" si="20"/>
        <v>647.59</v>
      </c>
      <c r="AL94" s="412">
        <f t="shared" si="21"/>
        <v>-647.59</v>
      </c>
    </row>
    <row r="95" spans="1:38" ht="14">
      <c r="A95" s="402" t="s">
        <v>951</v>
      </c>
      <c r="B95" s="403">
        <v>15059549</v>
      </c>
      <c r="C95" s="402"/>
      <c r="D95" s="402" t="s">
        <v>856</v>
      </c>
      <c r="E95" s="413">
        <v>4776.03</v>
      </c>
      <c r="F95" s="423">
        <v>7727.29</v>
      </c>
      <c r="G95" s="437">
        <v>8148.2</v>
      </c>
      <c r="H95" s="449">
        <v>9636.7099999999991</v>
      </c>
      <c r="I95" s="450">
        <v>4545.6400000000003</v>
      </c>
      <c r="J95" s="453">
        <v>3748.5</v>
      </c>
      <c r="K95" s="463">
        <v>3561.88</v>
      </c>
      <c r="L95" s="463">
        <v>4176.8999999999996</v>
      </c>
      <c r="M95" s="468">
        <v>6162.17</v>
      </c>
      <c r="N95" s="471">
        <v>10017.07</v>
      </c>
      <c r="O95" s="474">
        <v>9649.58</v>
      </c>
      <c r="P95" s="477">
        <v>10195.299999999999</v>
      </c>
      <c r="Q95" s="412">
        <f t="shared" si="19"/>
        <v>43762.899999999994</v>
      </c>
      <c r="R95" s="456">
        <f t="shared" si="22"/>
        <v>7293.8166666666657</v>
      </c>
      <c r="T95" s="9">
        <f t="shared" si="17"/>
        <v>0</v>
      </c>
      <c r="U95" s="9">
        <f t="shared" si="23"/>
        <v>0</v>
      </c>
      <c r="V95" s="9">
        <f t="shared" si="23"/>
        <v>0</v>
      </c>
      <c r="W95" s="9">
        <f t="shared" si="23"/>
        <v>0</v>
      </c>
      <c r="X95" s="9">
        <f t="shared" si="23"/>
        <v>0</v>
      </c>
      <c r="Y95" s="9">
        <f t="shared" si="23"/>
        <v>0</v>
      </c>
      <c r="Z95" s="9">
        <f t="shared" si="23"/>
        <v>0</v>
      </c>
      <c r="AA95" s="9">
        <f t="shared" si="23"/>
        <v>0</v>
      </c>
      <c r="AB95" s="9">
        <f t="shared" si="23"/>
        <v>0</v>
      </c>
      <c r="AC95" s="9">
        <f t="shared" si="23"/>
        <v>0</v>
      </c>
      <c r="AD95" s="9">
        <f t="shared" si="23"/>
        <v>0</v>
      </c>
      <c r="AE95" s="9">
        <f t="shared" si="23"/>
        <v>0</v>
      </c>
      <c r="AF95" s="9">
        <f t="shared" si="23"/>
        <v>0</v>
      </c>
      <c r="AG95" s="9">
        <f t="shared" si="23"/>
        <v>43762.899999999994</v>
      </c>
      <c r="AH95" s="9">
        <f t="shared" si="23"/>
        <v>0</v>
      </c>
      <c r="AI95" s="9">
        <f t="shared" si="23"/>
        <v>0</v>
      </c>
      <c r="AK95" s="412">
        <f t="shared" si="20"/>
        <v>43762.899999999994</v>
      </c>
      <c r="AL95" s="412">
        <f t="shared" si="21"/>
        <v>-43762.899999999994</v>
      </c>
    </row>
    <row r="96" spans="1:38" ht="14">
      <c r="A96" s="402" t="s">
        <v>530</v>
      </c>
      <c r="B96" s="403">
        <v>15036275</v>
      </c>
      <c r="C96" s="402" t="s">
        <v>645</v>
      </c>
      <c r="D96" s="402" t="s">
        <v>590</v>
      </c>
      <c r="E96" s="413">
        <v>12381.71</v>
      </c>
      <c r="F96" s="423">
        <v>10436.620000000001</v>
      </c>
      <c r="G96" s="437">
        <v>9266.61</v>
      </c>
      <c r="H96" s="449">
        <v>11757.9</v>
      </c>
      <c r="I96" s="450">
        <v>9348.2000000000007</v>
      </c>
      <c r="J96" s="453">
        <v>8603</v>
      </c>
      <c r="K96" s="463">
        <v>8665.48</v>
      </c>
      <c r="L96" s="463">
        <v>8539.1200000000008</v>
      </c>
      <c r="M96" s="468">
        <v>11566.51</v>
      </c>
      <c r="N96" s="471">
        <v>16106.99</v>
      </c>
      <c r="O96" s="474">
        <v>17168.830000000002</v>
      </c>
      <c r="P96" s="477">
        <v>22732.65</v>
      </c>
      <c r="Q96" s="412">
        <f t="shared" si="19"/>
        <v>84779.58</v>
      </c>
      <c r="R96" s="456">
        <f t="shared" si="22"/>
        <v>14129.93</v>
      </c>
      <c r="T96" s="9">
        <f t="shared" si="17"/>
        <v>0</v>
      </c>
      <c r="U96" s="9">
        <f t="shared" si="23"/>
        <v>0</v>
      </c>
      <c r="V96" s="9">
        <f t="shared" si="23"/>
        <v>0</v>
      </c>
      <c r="W96" s="9">
        <f t="shared" si="23"/>
        <v>0</v>
      </c>
      <c r="X96" s="9">
        <f t="shared" si="23"/>
        <v>0</v>
      </c>
      <c r="Y96" s="9">
        <f t="shared" si="23"/>
        <v>84779.58</v>
      </c>
      <c r="Z96" s="9">
        <f t="shared" si="23"/>
        <v>0</v>
      </c>
      <c r="AA96" s="9">
        <f t="shared" si="23"/>
        <v>0</v>
      </c>
      <c r="AB96" s="9">
        <f t="shared" si="23"/>
        <v>0</v>
      </c>
      <c r="AC96" s="9">
        <f t="shared" si="23"/>
        <v>0</v>
      </c>
      <c r="AD96" s="9">
        <f t="shared" si="23"/>
        <v>0</v>
      </c>
      <c r="AE96" s="9">
        <f t="shared" si="23"/>
        <v>0</v>
      </c>
      <c r="AF96" s="9">
        <f t="shared" si="23"/>
        <v>0</v>
      </c>
      <c r="AG96" s="9">
        <f t="shared" si="23"/>
        <v>0</v>
      </c>
      <c r="AH96" s="9">
        <f t="shared" si="23"/>
        <v>0</v>
      </c>
      <c r="AI96" s="9">
        <f t="shared" si="23"/>
        <v>0</v>
      </c>
      <c r="AK96" s="412">
        <f t="shared" si="20"/>
        <v>84779.58</v>
      </c>
      <c r="AL96" s="412">
        <f t="shared" si="21"/>
        <v>-84779.58</v>
      </c>
    </row>
    <row r="97" spans="1:38" ht="14">
      <c r="A97" s="402" t="s">
        <v>537</v>
      </c>
      <c r="B97" s="403">
        <v>15055052</v>
      </c>
      <c r="C97" s="402" t="s">
        <v>590</v>
      </c>
      <c r="D97" s="402" t="s">
        <v>590</v>
      </c>
      <c r="E97" s="413">
        <f>7626.17+0.67</f>
        <v>7626.84</v>
      </c>
      <c r="F97" s="437">
        <v>12641.3</v>
      </c>
      <c r="G97" s="437">
        <v>14529.81</v>
      </c>
      <c r="H97" s="449">
        <v>15309.71</v>
      </c>
      <c r="I97" s="450">
        <v>17255.509999999998</v>
      </c>
      <c r="J97" s="461">
        <v>8861.2900000000009</v>
      </c>
      <c r="K97" s="461">
        <f>10105.05</f>
        <v>10105.049999999999</v>
      </c>
      <c r="L97" s="463">
        <v>11806.33</v>
      </c>
      <c r="M97" s="468">
        <v>16079.06</v>
      </c>
      <c r="N97" s="471">
        <v>19805.400000000001</v>
      </c>
      <c r="O97" s="474">
        <v>19253.89</v>
      </c>
      <c r="P97" s="477">
        <v>21931.17</v>
      </c>
      <c r="Q97" s="412">
        <f t="shared" si="19"/>
        <v>98980.9</v>
      </c>
      <c r="R97" s="456">
        <f t="shared" si="22"/>
        <v>16496.816666666666</v>
      </c>
      <c r="T97" s="9">
        <f t="shared" si="17"/>
        <v>0</v>
      </c>
      <c r="U97" s="9">
        <f t="shared" si="23"/>
        <v>98980.9</v>
      </c>
      <c r="V97" s="9">
        <f t="shared" si="23"/>
        <v>0</v>
      </c>
      <c r="W97" s="9">
        <f t="shared" si="23"/>
        <v>0</v>
      </c>
      <c r="X97" s="9">
        <f t="shared" si="23"/>
        <v>0</v>
      </c>
      <c r="Y97" s="9">
        <f t="shared" si="23"/>
        <v>0</v>
      </c>
      <c r="Z97" s="9">
        <f t="shared" si="23"/>
        <v>0</v>
      </c>
      <c r="AA97" s="9">
        <f t="shared" si="23"/>
        <v>0</v>
      </c>
      <c r="AB97" s="9">
        <f t="shared" si="23"/>
        <v>0</v>
      </c>
      <c r="AC97" s="9">
        <f t="shared" si="23"/>
        <v>0</v>
      </c>
      <c r="AD97" s="9">
        <f t="shared" si="23"/>
        <v>0</v>
      </c>
      <c r="AE97" s="9">
        <f t="shared" si="23"/>
        <v>0</v>
      </c>
      <c r="AF97" s="9">
        <f t="shared" si="23"/>
        <v>0</v>
      </c>
      <c r="AG97" s="9">
        <f t="shared" si="23"/>
        <v>0</v>
      </c>
      <c r="AH97" s="9">
        <f t="shared" si="23"/>
        <v>0</v>
      </c>
      <c r="AI97" s="9">
        <f t="shared" si="23"/>
        <v>0</v>
      </c>
      <c r="AK97" s="412">
        <f t="shared" si="20"/>
        <v>98980.9</v>
      </c>
      <c r="AL97" s="412">
        <f t="shared" si="21"/>
        <v>-98980.9</v>
      </c>
    </row>
    <row r="98" spans="1:38" ht="14">
      <c r="A98" s="402" t="s">
        <v>951</v>
      </c>
      <c r="B98" s="403">
        <v>15056636</v>
      </c>
      <c r="C98" s="402" t="s">
        <v>712</v>
      </c>
      <c r="D98" s="402" t="s">
        <v>712</v>
      </c>
      <c r="E98" s="439"/>
      <c r="F98" s="423">
        <v>120.15</v>
      </c>
      <c r="G98" s="437">
        <v>82.68</v>
      </c>
      <c r="H98" s="449">
        <f>218.71</f>
        <v>218.71</v>
      </c>
      <c r="I98" s="439"/>
      <c r="J98" s="439"/>
      <c r="K98" s="439"/>
      <c r="L98" s="439"/>
      <c r="M98" s="468">
        <v>25.67</v>
      </c>
      <c r="N98" s="471">
        <v>65.540000000000006</v>
      </c>
      <c r="Q98" s="412">
        <f t="shared" si="19"/>
        <v>91.210000000000008</v>
      </c>
      <c r="R98" s="456">
        <f t="shared" si="22"/>
        <v>15.201666666666668</v>
      </c>
      <c r="T98" s="9">
        <f t="shared" si="17"/>
        <v>0</v>
      </c>
      <c r="U98" s="9">
        <f t="shared" si="23"/>
        <v>0</v>
      </c>
      <c r="V98" s="9">
        <f t="shared" si="23"/>
        <v>0</v>
      </c>
      <c r="W98" s="9">
        <f t="shared" si="23"/>
        <v>0</v>
      </c>
      <c r="X98" s="9">
        <f t="shared" si="23"/>
        <v>0</v>
      </c>
      <c r="Y98" s="9">
        <f t="shared" si="23"/>
        <v>0</v>
      </c>
      <c r="Z98" s="9">
        <f t="shared" si="23"/>
        <v>0</v>
      </c>
      <c r="AA98" s="9">
        <f t="shared" si="23"/>
        <v>0</v>
      </c>
      <c r="AB98" s="9">
        <f t="shared" si="23"/>
        <v>0</v>
      </c>
      <c r="AC98" s="9">
        <f t="shared" si="23"/>
        <v>0</v>
      </c>
      <c r="AD98" s="9">
        <f t="shared" si="23"/>
        <v>0</v>
      </c>
      <c r="AE98" s="9">
        <f t="shared" si="23"/>
        <v>0</v>
      </c>
      <c r="AF98" s="9">
        <f t="shared" si="23"/>
        <v>0</v>
      </c>
      <c r="AG98" s="9">
        <f t="shared" si="23"/>
        <v>91.210000000000008</v>
      </c>
      <c r="AH98" s="9">
        <f t="shared" si="23"/>
        <v>0</v>
      </c>
      <c r="AI98" s="9">
        <f t="shared" si="23"/>
        <v>0</v>
      </c>
      <c r="AK98" s="412">
        <f t="shared" si="20"/>
        <v>91.210000000000008</v>
      </c>
      <c r="AL98" s="412">
        <f t="shared" si="21"/>
        <v>-91.210000000000008</v>
      </c>
    </row>
    <row r="99" spans="1:38" ht="14">
      <c r="A99" s="402" t="s">
        <v>705</v>
      </c>
      <c r="B99" s="403">
        <v>13860400</v>
      </c>
      <c r="C99" s="402"/>
      <c r="D99" s="402" t="s">
        <v>1019</v>
      </c>
      <c r="F99" s="423"/>
      <c r="G99" s="437"/>
      <c r="H99" s="449"/>
      <c r="K99" s="412">
        <v>81.349999999999994</v>
      </c>
      <c r="L99" s="412">
        <v>100.06</v>
      </c>
      <c r="M99" s="412">
        <v>101.15</v>
      </c>
      <c r="O99" s="412">
        <v>146.99</v>
      </c>
      <c r="P99" s="412">
        <v>59.5</v>
      </c>
      <c r="Q99" s="412">
        <f t="shared" si="19"/>
        <v>489.05</v>
      </c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K99" s="412"/>
      <c r="AL99" s="412"/>
    </row>
    <row r="100" spans="1:38" ht="14">
      <c r="A100" s="406" t="s">
        <v>533</v>
      </c>
      <c r="B100" s="407">
        <v>15055141</v>
      </c>
      <c r="C100" s="408" t="s">
        <v>695</v>
      </c>
      <c r="D100" s="408" t="s">
        <v>695</v>
      </c>
      <c r="E100" s="414">
        <v>11661.95</v>
      </c>
      <c r="F100" s="438">
        <v>11508.12</v>
      </c>
      <c r="G100" s="438">
        <v>11202.8</v>
      </c>
      <c r="H100" s="452">
        <v>9616.9599999999991</v>
      </c>
      <c r="I100" s="451">
        <v>9794.58</v>
      </c>
      <c r="J100" s="452">
        <v>8906.19</v>
      </c>
      <c r="K100" s="464">
        <f>9760.12</f>
        <v>9760.1200000000008</v>
      </c>
      <c r="L100" s="464">
        <v>7655.23</v>
      </c>
      <c r="M100" s="469">
        <v>10262.33</v>
      </c>
      <c r="N100" s="472">
        <v>10826.57</v>
      </c>
      <c r="O100" s="475">
        <v>10484.84</v>
      </c>
      <c r="P100" s="478">
        <v>10127.85</v>
      </c>
      <c r="Q100" s="412">
        <f t="shared" si="19"/>
        <v>59116.939999999995</v>
      </c>
      <c r="R100" s="459">
        <f t="shared" si="22"/>
        <v>9852.8233333333319</v>
      </c>
      <c r="T100" s="9">
        <f t="shared" si="17"/>
        <v>0</v>
      </c>
      <c r="U100" s="9">
        <f t="shared" si="23"/>
        <v>0</v>
      </c>
      <c r="V100" s="9">
        <f t="shared" si="23"/>
        <v>0</v>
      </c>
      <c r="W100" s="9">
        <f t="shared" si="23"/>
        <v>0</v>
      </c>
      <c r="X100" s="9">
        <f t="shared" si="23"/>
        <v>0</v>
      </c>
      <c r="Y100" s="9">
        <f t="shared" si="23"/>
        <v>0</v>
      </c>
      <c r="Z100" s="9">
        <f t="shared" si="23"/>
        <v>0</v>
      </c>
      <c r="AA100" s="9">
        <f t="shared" si="23"/>
        <v>0</v>
      </c>
      <c r="AB100" s="9">
        <f t="shared" si="23"/>
        <v>0</v>
      </c>
      <c r="AC100" s="9">
        <f t="shared" si="23"/>
        <v>59116.939999999995</v>
      </c>
      <c r="AD100" s="9">
        <f t="shared" si="23"/>
        <v>0</v>
      </c>
      <c r="AE100" s="9">
        <f t="shared" si="23"/>
        <v>0</v>
      </c>
      <c r="AF100" s="9">
        <f t="shared" si="23"/>
        <v>0</v>
      </c>
      <c r="AG100" s="9">
        <f t="shared" si="23"/>
        <v>0</v>
      </c>
      <c r="AH100" s="9">
        <f t="shared" si="23"/>
        <v>0</v>
      </c>
      <c r="AI100" s="9">
        <f t="shared" si="23"/>
        <v>0</v>
      </c>
      <c r="AK100" s="412">
        <f t="shared" si="20"/>
        <v>59116.939999999995</v>
      </c>
      <c r="AL100" s="412">
        <f t="shared" si="21"/>
        <v>-59116.939999999995</v>
      </c>
    </row>
    <row r="101" spans="1:38" ht="14">
      <c r="A101" s="402"/>
      <c r="B101" s="404"/>
      <c r="C101" s="405"/>
      <c r="D101" s="405"/>
      <c r="E101" s="412">
        <f t="shared" ref="E101:J101" si="24">SUM(E4:E100)</f>
        <v>717366.45</v>
      </c>
      <c r="F101" s="412">
        <f t="shared" si="24"/>
        <v>772283.14</v>
      </c>
      <c r="G101" s="412">
        <f t="shared" si="24"/>
        <v>791738.52999999991</v>
      </c>
      <c r="H101" s="412">
        <f t="shared" si="24"/>
        <v>913208.94999999972</v>
      </c>
      <c r="I101" s="412">
        <f t="shared" si="24"/>
        <v>684951.28</v>
      </c>
      <c r="J101" s="412">
        <f t="shared" si="24"/>
        <v>489202.91000000009</v>
      </c>
      <c r="K101" s="412">
        <f t="shared" ref="K101:R101" si="25">SUM(K4:K100)</f>
        <v>550931.07999999996</v>
      </c>
      <c r="L101" s="412">
        <f t="shared" si="25"/>
        <v>634222.49</v>
      </c>
      <c r="M101" s="412">
        <f t="shared" si="25"/>
        <v>909239.52000000037</v>
      </c>
      <c r="N101" s="412">
        <f t="shared" si="25"/>
        <v>1209327.75</v>
      </c>
      <c r="O101" s="412">
        <f t="shared" si="25"/>
        <v>1242776.8900000001</v>
      </c>
      <c r="P101" s="412">
        <f t="shared" si="25"/>
        <v>1528324.9</v>
      </c>
      <c r="Q101" s="412">
        <f t="shared" si="25"/>
        <v>6074822.629999999</v>
      </c>
      <c r="R101" s="412">
        <f t="shared" si="25"/>
        <v>1012388.9300000003</v>
      </c>
    </row>
    <row r="102" spans="1:38" ht="14">
      <c r="A102" s="402"/>
      <c r="B102" s="404"/>
      <c r="C102" s="405"/>
      <c r="D102" s="405"/>
    </row>
    <row r="103" spans="1:38" ht="14">
      <c r="D103" s="402" t="s">
        <v>140</v>
      </c>
      <c r="E103" s="430">
        <f t="shared" ref="E103:J103" si="26">+E101</f>
        <v>717366.45</v>
      </c>
      <c r="F103" s="430">
        <f t="shared" si="26"/>
        <v>772283.14</v>
      </c>
      <c r="G103" s="430">
        <f t="shared" si="26"/>
        <v>791738.52999999991</v>
      </c>
      <c r="H103" s="430">
        <f t="shared" si="26"/>
        <v>913208.94999999972</v>
      </c>
      <c r="I103" s="430">
        <f t="shared" si="26"/>
        <v>684951.28</v>
      </c>
      <c r="J103" s="430">
        <f t="shared" si="26"/>
        <v>489202.91000000009</v>
      </c>
      <c r="K103" s="430">
        <f t="shared" ref="K103:P103" si="27">+K101</f>
        <v>550931.07999999996</v>
      </c>
      <c r="L103" s="430">
        <f t="shared" si="27"/>
        <v>634222.49</v>
      </c>
      <c r="M103" s="430">
        <f t="shared" si="27"/>
        <v>909239.52000000037</v>
      </c>
      <c r="N103" s="430">
        <f t="shared" si="27"/>
        <v>1209327.75</v>
      </c>
      <c r="O103" s="430">
        <f t="shared" si="27"/>
        <v>1242776.8900000001</v>
      </c>
      <c r="P103" s="430">
        <f t="shared" si="27"/>
        <v>1528324.9</v>
      </c>
      <c r="W103">
        <f>218+119</f>
        <v>337</v>
      </c>
    </row>
    <row r="104" spans="1:38" ht="14">
      <c r="D104" s="402" t="s">
        <v>348</v>
      </c>
      <c r="E104" s="431">
        <f>-E52-E65-E81-E98-E71-E67-E74-E47</f>
        <v>-33365.699999999997</v>
      </c>
      <c r="F104" s="431">
        <f>-F13-F35-F54-F55-F57-F72-F79-F83-F89-F97-F100-F5-F14-F10-F71-F67-F74</f>
        <v>-77729.600000000006</v>
      </c>
      <c r="G104" s="431">
        <f>-G5-G13-G14-G18-G35-G48-G56-G57-G65-G83-G71-G67-G74-G47</f>
        <v>-62622.57</v>
      </c>
      <c r="H104" s="431">
        <f>-H5-H13-H22-H26-H27-H28-H40-H52-H54-H56-H57-H81-H83-H89-H94-H100-H71-H74-H67-H47-H32</f>
        <v>-131219.57999999999</v>
      </c>
      <c r="I104" s="431">
        <f>-I5-I10-I13-I14-I18-I24-I26-I39-I40-I48-I58-I63-I67-I71-I73-I74-I83-I89-I93-I98-I32</f>
        <v>-139276.79</v>
      </c>
      <c r="J104" s="431">
        <f>-J5-J13-J14-J34-J40-J53-J67-J73-J74-J79-J94-J97-J98-J46</f>
        <v>-59357.049999999996</v>
      </c>
      <c r="K104" s="431">
        <f>-K5-K10-K12-K13-K14-K16-K19-K20-K21-K22-K28-K30-K35-K37-K49-K51-K54-K55-K56-K57-K60-K61-K65-K67-K73-K74-K75-K78-K82-K83-K84-K89-K93-K95-K96-K98-K100-K46-K32-K99</f>
        <v>-165094.87000000002</v>
      </c>
      <c r="L104" s="431">
        <f>-L5-L13-L14-L35-L40-L50-L53-L55-L56-L57-L63-L67-L73-L74-L78-L81-L83-L84-L89-L98-L46-L99</f>
        <v>-105434.40000000001</v>
      </c>
      <c r="M104" s="431">
        <f>-M6-M14-M18-M26-M50-M53-M54-M55-M56-M57-M62-M67-M73-M74-M79-M81-M83-M84-M89-M94-M46-M99</f>
        <v>-187060.56</v>
      </c>
      <c r="N104" s="431">
        <f>-N5-N13-N22-N28-N32-N35-N47-N53-N54-N55-N57-N62-N67-N74-N81-N83-N84-N89-N94-N99</f>
        <v>-55723.14</v>
      </c>
      <c r="O104" s="431">
        <f>-O5-O13-O32-O35-O47-O53-O54-O55-O56-O57-O59-O62-O67-O69-O74-O79-O81-O83-O84-O89-O98-O99</f>
        <v>-60116.320000000014</v>
      </c>
      <c r="P104" s="431">
        <f>-P5-P10-P13-P32-P47-P53-P55-P57-P62-P65-P67-P73-P74-P75-P81-P83-P84-P89-P98-P99</f>
        <v>-47714.619999999995</v>
      </c>
    </row>
    <row r="105" spans="1:38" ht="14">
      <c r="D105" s="402" t="s">
        <v>349</v>
      </c>
      <c r="E105" s="427">
        <f>+'2020'!V80+'2020'!W80+'2020'!X80+'2020'!Y80+'2020'!Z80+'2020'!O18+'2020'!Q18+'2020'!R18+'2020'!T18+'2020'!V18+'2020'!W18+'2020'!X18+'2020'!Y18+'2020'!Z35+'2020'!Z110+'2020'!Z82+'2020'!Z116</f>
        <v>66560.570000000007</v>
      </c>
      <c r="F105" s="432">
        <f>+E81+E52+'2020'!Z58+'2020'!Y58+'2020'!W58+'2020'!V58+'2020'!W26+'2020'!X26+'2020'!Z20+'2020'!Z111</f>
        <v>104392.17</v>
      </c>
      <c r="G105" s="432">
        <f>+F100+F97+F54+F14+'2019'!V19+F10</f>
        <v>39454.269999999997</v>
      </c>
      <c r="H105" s="432">
        <f>+G48+G71</f>
        <v>18570.669999999998</v>
      </c>
      <c r="I105" s="432">
        <f>+'2020'!Y111+'2020'!V46+'2020'!W46+G14+H22+H27+H28+H40+H52+G56+H56+E67+F67+G67+E74+F74+G74+H81+H26</f>
        <v>175753.61000000002</v>
      </c>
      <c r="J105" s="432">
        <f>+H100+I93+I58+I48+I40+I39+I26+I24+I18+I14+I10</f>
        <v>134342.69</v>
      </c>
      <c r="K105" s="432">
        <f>+F5+J14+J34+J40+J53+J97+'2020'!U91+'2020'!V91+'2020'!Y91+'2020'!Z91+E71+F71+H71+I71+'2020'!Q91+'2020'!R91</f>
        <v>110658.15</v>
      </c>
      <c r="L105" s="432">
        <f>+'2020'!W69+'2021'!G5+'2021'!K10+'2021'!K12+'2021'!K16+'2021'!K19+'2021'!K20+'2021'!K21+'2021'!K22+'2021'!K28+'2021'!K30+'2021'!K49+'2021'!K51+'2021'!K60+'2021'!K61+'2021'!K75+'2021'!K82+'2021'!K93+'2021'!K95+'2021'!K96+'2021'!K100+K14</f>
        <v>172038.56000000003</v>
      </c>
      <c r="M105" s="432">
        <f>+'2020'!Z18+'2021'!F13+'2021'!G13+'2021'!H5+'2021'!H13+'2021'!I13+'2021'!J13+'2021'!K13+'2021'!K78+L13+L14+L40+L78+L81</f>
        <v>99595.16</v>
      </c>
      <c r="N105" s="432">
        <f>+'2020'!O57+'2020'!P57+'2020'!Q57+'2020'!R57+'2020'!Y57+'2020'!W70+'2021'!I5+'2021'!M6+'2021'!M14+'2021'!M26+'2021'!K32+'2021'!I32+'2021'!H32+'2021'!J46+'2021'!K46+'2021'!L46+'2021'!M46+'2021'!E47+'2021'!G47+'2021'!H47+'2021'!M54+'2021'!M56+'2021'!I63+'2021'!M67+'2021'!F72+'2021'!H74+'2021'!I74+'2021'!J74+'2021'!K74+'2021'!M74+'2021'!M81</f>
        <v>227131.54000000004</v>
      </c>
      <c r="O105" s="432">
        <f>+F35+J5+K5+L5+M18+N5+N22</f>
        <v>53251.770000000004</v>
      </c>
      <c r="P105" s="432">
        <f>+M79+N13+O5+O54+O56+O59</f>
        <v>26782.129999999997</v>
      </c>
    </row>
    <row r="106" spans="1:38" ht="14">
      <c r="D106" s="402" t="s">
        <v>301</v>
      </c>
      <c r="E106" s="425">
        <f t="shared" ref="E106:P106" si="28">+SUM(E103:E105)</f>
        <v>750561.32000000007</v>
      </c>
      <c r="F106" s="425">
        <f t="shared" si="28"/>
        <v>798945.71000000008</v>
      </c>
      <c r="G106" s="425">
        <f t="shared" si="28"/>
        <v>768570.23</v>
      </c>
      <c r="H106" s="425">
        <f t="shared" si="28"/>
        <v>800560.0399999998</v>
      </c>
      <c r="I106" s="425">
        <f t="shared" si="28"/>
        <v>721428.1</v>
      </c>
      <c r="J106" s="425">
        <f t="shared" si="28"/>
        <v>564188.55000000005</v>
      </c>
      <c r="K106" s="425">
        <f t="shared" si="28"/>
        <v>496494.36</v>
      </c>
      <c r="L106" s="425">
        <f t="shared" si="28"/>
        <v>700826.65</v>
      </c>
      <c r="M106" s="425">
        <f t="shared" si="28"/>
        <v>821774.12000000046</v>
      </c>
      <c r="N106" s="425">
        <f t="shared" si="28"/>
        <v>1380736.1500000001</v>
      </c>
      <c r="O106" s="425">
        <f t="shared" si="28"/>
        <v>1235912.3400000001</v>
      </c>
      <c r="P106" s="425">
        <f t="shared" si="28"/>
        <v>1507392.4099999997</v>
      </c>
      <c r="Q106" s="476"/>
    </row>
    <row r="107" spans="1:38" ht="14">
      <c r="D107" s="424" t="s">
        <v>304</v>
      </c>
      <c r="E107" s="426">
        <f t="shared" ref="E107:P107" si="29">+E106/8.5*4</f>
        <v>353205.32705882355</v>
      </c>
      <c r="F107" s="426">
        <f t="shared" si="29"/>
        <v>375974.45176470594</v>
      </c>
      <c r="G107" s="426">
        <f t="shared" si="29"/>
        <v>361680.10823529412</v>
      </c>
      <c r="H107" s="426">
        <f t="shared" si="29"/>
        <v>376734.13647058816</v>
      </c>
      <c r="I107" s="426">
        <f t="shared" si="29"/>
        <v>339495.57647058822</v>
      </c>
      <c r="J107" s="426">
        <f t="shared" si="29"/>
        <v>265500.49411764706</v>
      </c>
      <c r="K107" s="426">
        <f t="shared" si="29"/>
        <v>233644.40470588233</v>
      </c>
      <c r="L107" s="426">
        <f t="shared" si="29"/>
        <v>329800.77647058823</v>
      </c>
      <c r="M107" s="426">
        <f t="shared" si="29"/>
        <v>386717.23294117668</v>
      </c>
      <c r="N107" s="426">
        <f t="shared" si="29"/>
        <v>649758.18823529419</v>
      </c>
      <c r="O107" s="426">
        <f t="shared" si="29"/>
        <v>581605.80705882353</v>
      </c>
      <c r="P107" s="426">
        <f t="shared" si="29"/>
        <v>709361.13411764696</v>
      </c>
    </row>
    <row r="108" spans="1:38" ht="14">
      <c r="D108" s="424" t="s">
        <v>305</v>
      </c>
      <c r="E108" s="426">
        <f t="shared" ref="E108:P108" si="30">+E106/8.5*2</f>
        <v>176602.66352941177</v>
      </c>
      <c r="F108" s="426">
        <f t="shared" si="30"/>
        <v>187987.22588235297</v>
      </c>
      <c r="G108" s="426">
        <f t="shared" si="30"/>
        <v>180840.05411764706</v>
      </c>
      <c r="H108" s="426">
        <f t="shared" si="30"/>
        <v>188367.06823529408</v>
      </c>
      <c r="I108" s="426">
        <f t="shared" si="30"/>
        <v>169747.78823529411</v>
      </c>
      <c r="J108" s="426">
        <f t="shared" si="30"/>
        <v>132750.24705882353</v>
      </c>
      <c r="K108" s="426">
        <f t="shared" si="30"/>
        <v>116822.20235294117</v>
      </c>
      <c r="L108" s="426">
        <f t="shared" si="30"/>
        <v>164900.38823529411</v>
      </c>
      <c r="M108" s="426">
        <f t="shared" si="30"/>
        <v>193358.61647058834</v>
      </c>
      <c r="N108" s="426">
        <f t="shared" si="30"/>
        <v>324879.0941176471</v>
      </c>
      <c r="O108" s="426">
        <f t="shared" si="30"/>
        <v>290802.90352941176</v>
      </c>
      <c r="P108" s="426">
        <f t="shared" si="30"/>
        <v>354680.56705882348</v>
      </c>
    </row>
    <row r="109" spans="1:38" ht="14">
      <c r="D109" s="402" t="s">
        <v>302</v>
      </c>
      <c r="E109" s="428">
        <f t="shared" ref="E109:P109" si="31">+E107*0.005</f>
        <v>1766.0266352941178</v>
      </c>
      <c r="F109" s="428">
        <f t="shared" si="31"/>
        <v>1879.8722588235298</v>
      </c>
      <c r="G109" s="428">
        <f t="shared" si="31"/>
        <v>1808.4005411764706</v>
      </c>
      <c r="H109" s="428">
        <f t="shared" si="31"/>
        <v>1883.6706823529407</v>
      </c>
      <c r="I109" s="428">
        <f t="shared" si="31"/>
        <v>1697.4778823529412</v>
      </c>
      <c r="J109" s="428">
        <f t="shared" si="31"/>
        <v>1327.5024705882354</v>
      </c>
      <c r="K109" s="428">
        <f t="shared" si="31"/>
        <v>1168.2220235294117</v>
      </c>
      <c r="L109" s="428">
        <f t="shared" si="31"/>
        <v>1649.0038823529412</v>
      </c>
      <c r="M109" s="428">
        <f t="shared" si="31"/>
        <v>1933.5861647058834</v>
      </c>
      <c r="N109" s="428">
        <f t="shared" si="31"/>
        <v>3248.7909411764708</v>
      </c>
      <c r="O109" s="428">
        <f t="shared" si="31"/>
        <v>2908.0290352941179</v>
      </c>
      <c r="P109" s="428">
        <f t="shared" si="31"/>
        <v>3546.805670588235</v>
      </c>
    </row>
    <row r="110" spans="1:38" ht="14">
      <c r="D110" s="402" t="s">
        <v>702</v>
      </c>
      <c r="E110" s="428">
        <f t="shared" ref="E110:P110" si="32">+E106/8.5*2</f>
        <v>176602.66352941177</v>
      </c>
      <c r="F110" s="428">
        <f t="shared" si="32"/>
        <v>187987.22588235297</v>
      </c>
      <c r="G110" s="428">
        <f t="shared" si="32"/>
        <v>180840.05411764706</v>
      </c>
      <c r="H110" s="428">
        <f t="shared" si="32"/>
        <v>188367.06823529408</v>
      </c>
      <c r="I110" s="428">
        <f t="shared" si="32"/>
        <v>169747.78823529411</v>
      </c>
      <c r="J110" s="428">
        <f t="shared" si="32"/>
        <v>132750.24705882353</v>
      </c>
      <c r="K110" s="428">
        <f t="shared" si="32"/>
        <v>116822.20235294117</v>
      </c>
      <c r="L110" s="428">
        <f t="shared" si="32"/>
        <v>164900.38823529411</v>
      </c>
      <c r="M110" s="428">
        <f t="shared" si="32"/>
        <v>193358.61647058834</v>
      </c>
      <c r="N110" s="428">
        <f t="shared" si="32"/>
        <v>324879.0941176471</v>
      </c>
      <c r="O110" s="428">
        <f t="shared" si="32"/>
        <v>290802.90352941176</v>
      </c>
      <c r="P110" s="428">
        <f t="shared" si="32"/>
        <v>354680.56705882348</v>
      </c>
    </row>
    <row r="111" spans="1:38" ht="14">
      <c r="D111" s="402" t="s">
        <v>703</v>
      </c>
      <c r="E111" s="427">
        <f t="shared" ref="E111:P111" si="33">+E106/8.5*0.5</f>
        <v>44150.665882352943</v>
      </c>
      <c r="F111" s="427">
        <f t="shared" si="33"/>
        <v>46996.806470588243</v>
      </c>
      <c r="G111" s="427">
        <f t="shared" si="33"/>
        <v>45210.013529411764</v>
      </c>
      <c r="H111" s="427">
        <f t="shared" si="33"/>
        <v>47091.76705882352</v>
      </c>
      <c r="I111" s="427">
        <f t="shared" si="33"/>
        <v>42436.947058823527</v>
      </c>
      <c r="J111" s="427">
        <f t="shared" si="33"/>
        <v>33187.561764705883</v>
      </c>
      <c r="K111" s="427">
        <f t="shared" si="33"/>
        <v>29205.550588235292</v>
      </c>
      <c r="L111" s="427">
        <f t="shared" si="33"/>
        <v>41225.097058823529</v>
      </c>
      <c r="M111" s="427">
        <f t="shared" si="33"/>
        <v>48339.654117647086</v>
      </c>
      <c r="N111" s="427">
        <f t="shared" si="33"/>
        <v>81219.773529411774</v>
      </c>
      <c r="O111" s="427">
        <f t="shared" si="33"/>
        <v>72700.725882352941</v>
      </c>
      <c r="P111" s="427">
        <f t="shared" si="33"/>
        <v>88670.14176470587</v>
      </c>
    </row>
    <row r="112" spans="1:38" ht="14">
      <c r="D112" s="402" t="s">
        <v>303</v>
      </c>
      <c r="E112" s="425">
        <f t="shared" ref="E112:P112" si="34">+E107-E109</f>
        <v>351439.30042352941</v>
      </c>
      <c r="F112" s="425">
        <f t="shared" si="34"/>
        <v>374094.5795058824</v>
      </c>
      <c r="G112" s="425">
        <f t="shared" si="34"/>
        <v>359871.70769411762</v>
      </c>
      <c r="H112" s="425">
        <f t="shared" si="34"/>
        <v>374850.46578823519</v>
      </c>
      <c r="I112" s="425">
        <f t="shared" si="34"/>
        <v>337798.09858823527</v>
      </c>
      <c r="J112" s="425">
        <f t="shared" si="34"/>
        <v>264172.99164705881</v>
      </c>
      <c r="K112" s="425">
        <f t="shared" si="34"/>
        <v>232476.18268235293</v>
      </c>
      <c r="L112" s="425">
        <f t="shared" si="34"/>
        <v>328151.77258823527</v>
      </c>
      <c r="M112" s="425">
        <f t="shared" si="34"/>
        <v>384783.64677647082</v>
      </c>
      <c r="N112" s="425">
        <f t="shared" si="34"/>
        <v>646509.39729411772</v>
      </c>
      <c r="O112" s="425">
        <f t="shared" si="34"/>
        <v>578697.77802352945</v>
      </c>
      <c r="P112" s="425">
        <f t="shared" si="34"/>
        <v>705814.32844705868</v>
      </c>
    </row>
    <row r="113" spans="4:16" ht="14">
      <c r="D113" s="402"/>
      <c r="E113" s="428"/>
      <c r="F113" s="428"/>
      <c r="G113" s="428"/>
      <c r="H113" s="428"/>
    </row>
    <row r="114" spans="4:16" ht="14">
      <c r="D114" s="402" t="s">
        <v>637</v>
      </c>
      <c r="E114" s="429">
        <v>351439.3</v>
      </c>
      <c r="F114" s="429">
        <v>374094.58</v>
      </c>
      <c r="G114" s="429">
        <v>359871.71</v>
      </c>
      <c r="H114" s="429">
        <v>374850.47</v>
      </c>
      <c r="I114" s="412">
        <v>337798.1</v>
      </c>
      <c r="J114" s="412">
        <v>264172.99</v>
      </c>
      <c r="K114" s="412">
        <v>232429.36</v>
      </c>
      <c r="L114" s="412">
        <v>328194.63</v>
      </c>
      <c r="M114" s="412">
        <v>384783.65</v>
      </c>
      <c r="N114" s="412">
        <v>646509.4</v>
      </c>
      <c r="O114" s="412">
        <v>578697.78</v>
      </c>
      <c r="P114" s="412">
        <v>705814.33</v>
      </c>
    </row>
    <row r="115" spans="4:16" ht="14">
      <c r="D115" s="402" t="s">
        <v>648</v>
      </c>
      <c r="E115" s="429">
        <f t="shared" ref="E115:P115" si="35">+E112-E114</f>
        <v>4.2352941818535328E-4</v>
      </c>
      <c r="F115" s="429">
        <f t="shared" si="35"/>
        <v>-4.9411761574447155E-4</v>
      </c>
      <c r="G115" s="429">
        <f t="shared" si="35"/>
        <v>-2.3058824008330703E-3</v>
      </c>
      <c r="H115" s="429">
        <f t="shared" si="35"/>
        <v>-4.21176478266716E-3</v>
      </c>
      <c r="I115" s="429">
        <f t="shared" si="35"/>
        <v>-1.4117647078819573E-3</v>
      </c>
      <c r="J115" s="429">
        <f t="shared" si="35"/>
        <v>1.6470588161610067E-3</v>
      </c>
      <c r="K115" s="429">
        <f t="shared" si="35"/>
        <v>46.822682352940319</v>
      </c>
      <c r="L115" s="429">
        <f t="shared" si="35"/>
        <v>-42.857411764736753</v>
      </c>
      <c r="M115" s="429">
        <f t="shared" si="35"/>
        <v>-3.2235292019322515E-3</v>
      </c>
      <c r="N115" s="429">
        <f t="shared" si="35"/>
        <v>-2.705882303416729E-3</v>
      </c>
      <c r="O115" s="429">
        <f t="shared" si="35"/>
        <v>-1.976470579393208E-3</v>
      </c>
      <c r="P115" s="429">
        <f t="shared" si="35"/>
        <v>-1.5529412776231766E-3</v>
      </c>
    </row>
  </sheetData>
  <sortState xmlns:xlrd2="http://schemas.microsoft.com/office/spreadsheetml/2017/richdata2" ref="A2:D135">
    <sortCondition ref="D2:D135"/>
  </sortState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Y117"/>
  <sheetViews>
    <sheetView zoomScaleNormal="100" workbookViewId="0">
      <pane xSplit="5" ySplit="3" topLeftCell="K4" activePane="bottomRight" state="frozen"/>
      <selection pane="topRight" activeCell="E1" sqref="E1"/>
      <selection pane="bottomLeft" activeCell="A4" sqref="A4"/>
      <selection pane="bottomRight" activeCell="K15" sqref="K15"/>
    </sheetView>
  </sheetViews>
  <sheetFormatPr defaultRowHeight="12.5"/>
  <cols>
    <col min="1" max="1" width="16.36328125" bestFit="1" customWidth="1"/>
    <col min="2" max="3" width="10.08984375" customWidth="1"/>
    <col min="4" max="4" width="9.08984375" customWidth="1"/>
    <col min="5" max="5" width="42.08984375" bestFit="1" customWidth="1"/>
    <col min="6" max="6" width="14.6328125" style="456" customWidth="1"/>
    <col min="7" max="7" width="15.36328125" style="412" customWidth="1"/>
    <col min="8" max="8" width="15.6328125" style="412" customWidth="1"/>
    <col min="9" max="10" width="15.36328125" style="412" customWidth="1"/>
    <col min="11" max="11" width="15.6328125" style="412" customWidth="1"/>
    <col min="12" max="12" width="14.6328125" style="412" customWidth="1"/>
    <col min="13" max="13" width="15.1796875" style="412" customWidth="1"/>
    <col min="14" max="14" width="15.1796875" style="412" bestFit="1" customWidth="1"/>
    <col min="15" max="15" width="15.6328125" style="412" customWidth="1"/>
    <col min="16" max="17" width="15.36328125" style="412" customWidth="1"/>
    <col min="18" max="18" width="13.6328125" customWidth="1"/>
    <col min="19" max="19" width="12.6328125" style="456" customWidth="1"/>
    <col min="20" max="20" width="13.08984375" bestFit="1" customWidth="1"/>
    <col min="21" max="21" width="8.90625" customWidth="1"/>
    <col min="22" max="22" width="11.6328125" bestFit="1" customWidth="1"/>
    <col min="23" max="23" width="9.90625" customWidth="1"/>
    <col min="24" max="24" width="12.6328125" bestFit="1" customWidth="1"/>
    <col min="25" max="25" width="12" customWidth="1"/>
    <col min="26" max="26" width="11.453125" customWidth="1"/>
    <col min="27" max="27" width="9" customWidth="1"/>
    <col min="28" max="29" width="11.453125" customWidth="1"/>
    <col min="30" max="30" width="10.08984375" customWidth="1"/>
    <col min="31" max="31" width="8.90625" customWidth="1"/>
    <col min="32" max="35" width="11.6328125" bestFit="1" customWidth="1"/>
    <col min="36" max="36" width="12.6328125" bestFit="1" customWidth="1"/>
    <col min="37" max="37" width="10.90625" customWidth="1"/>
    <col min="38" max="38" width="1.6328125" customWidth="1"/>
    <col min="39" max="39" width="8.90625" customWidth="1"/>
    <col min="40" max="40" width="11.6328125" customWidth="1"/>
    <col min="41" max="42" width="14" style="456" customWidth="1"/>
    <col min="43" max="43" width="14.08984375" style="456" bestFit="1" customWidth="1"/>
    <col min="44" max="44" width="8.90625" style="525" customWidth="1"/>
    <col min="45" max="45" width="12.90625" customWidth="1"/>
    <col min="46" max="46" width="14" style="456" customWidth="1"/>
    <col min="47" max="47" width="12.90625" style="456" customWidth="1"/>
    <col min="48" max="48" width="8.90625" customWidth="1"/>
    <col min="49" max="49" width="15" customWidth="1"/>
    <col min="50" max="50" width="8.90625" customWidth="1"/>
    <col min="51" max="51" width="11.6328125" customWidth="1"/>
    <col min="52" max="54" width="8.90625" customWidth="1"/>
  </cols>
  <sheetData>
    <row r="1" spans="1:51">
      <c r="F1" s="456">
        <f t="shared" ref="F1:Q1" si="0">+SUM(F4:F102)</f>
        <v>1587067.1799999988</v>
      </c>
      <c r="G1" s="412">
        <f t="shared" si="0"/>
        <v>1541647.0799999996</v>
      </c>
      <c r="H1" s="412">
        <f t="shared" si="0"/>
        <v>1518991.63</v>
      </c>
      <c r="I1" s="412">
        <f t="shared" si="0"/>
        <v>1981636.75</v>
      </c>
      <c r="J1" s="412">
        <f t="shared" si="0"/>
        <v>1307744.6800000004</v>
      </c>
      <c r="K1" s="412">
        <f t="shared" si="0"/>
        <v>1106352.5800000003</v>
      </c>
      <c r="L1" s="412">
        <f t="shared" si="0"/>
        <v>967076.94999999984</v>
      </c>
      <c r="M1" s="412">
        <f t="shared" si="0"/>
        <v>1064499.9400000004</v>
      </c>
      <c r="N1" s="412">
        <f t="shared" si="0"/>
        <v>1500643.4399999992</v>
      </c>
      <c r="O1" s="412">
        <f t="shared" si="0"/>
        <v>2081127.1599999992</v>
      </c>
      <c r="P1" s="412">
        <f t="shared" si="0"/>
        <v>1835262.83</v>
      </c>
      <c r="Q1" s="412">
        <f t="shared" si="0"/>
        <v>1803950.42</v>
      </c>
      <c r="R1" s="412">
        <f>+SUM(R4:R102)</f>
        <v>18294858.060000006</v>
      </c>
      <c r="X1" s="458">
        <f>+R1-X2</f>
        <v>14874601.050000004</v>
      </c>
      <c r="AJ1" s="458"/>
    </row>
    <row r="2" spans="1:51">
      <c r="C2">
        <f>+SUM(C4:C102)</f>
        <v>8640</v>
      </c>
      <c r="E2" s="460"/>
      <c r="S2" s="456">
        <v>6</v>
      </c>
      <c r="U2" s="458">
        <f t="shared" ref="U2:AJ2" si="1">+SUM(U4:U102)</f>
        <v>0</v>
      </c>
      <c r="V2" s="458">
        <f t="shared" si="1"/>
        <v>1224726.04</v>
      </c>
      <c r="W2" s="458">
        <f t="shared" si="1"/>
        <v>451415.00000000006</v>
      </c>
      <c r="X2" s="458">
        <f t="shared" si="1"/>
        <v>3420257.0100000007</v>
      </c>
      <c r="Y2" s="458">
        <f t="shared" si="1"/>
        <v>0</v>
      </c>
      <c r="Z2" s="458">
        <f t="shared" si="1"/>
        <v>2542519.38</v>
      </c>
      <c r="AA2" s="458">
        <f t="shared" si="1"/>
        <v>0</v>
      </c>
      <c r="AB2" s="458">
        <f t="shared" si="1"/>
        <v>3217163.7200000007</v>
      </c>
      <c r="AC2" s="458">
        <f t="shared" si="1"/>
        <v>2007944.5999999999</v>
      </c>
      <c r="AD2" s="458">
        <f t="shared" si="1"/>
        <v>963847.69</v>
      </c>
      <c r="AE2" s="458">
        <f t="shared" si="1"/>
        <v>0</v>
      </c>
      <c r="AF2" s="458">
        <f t="shared" si="1"/>
        <v>1107869.7</v>
      </c>
      <c r="AG2" s="458">
        <f t="shared" si="1"/>
        <v>1292575.67</v>
      </c>
      <c r="AH2" s="458">
        <f t="shared" si="1"/>
        <v>1411488.73</v>
      </c>
      <c r="AI2" s="458">
        <f t="shared" si="1"/>
        <v>655050.52</v>
      </c>
      <c r="AJ2" s="458">
        <f t="shared" si="1"/>
        <v>18294858.060000006</v>
      </c>
    </row>
    <row r="3" spans="1:51" ht="25.5">
      <c r="A3" s="401" t="s">
        <v>523</v>
      </c>
      <c r="B3" s="400" t="s">
        <v>82</v>
      </c>
      <c r="C3" s="400" t="s">
        <v>981</v>
      </c>
      <c r="D3" s="401" t="s">
        <v>524</v>
      </c>
      <c r="E3" s="401" t="s">
        <v>0</v>
      </c>
      <c r="F3" s="507" t="s">
        <v>982</v>
      </c>
      <c r="G3" s="508" t="s">
        <v>983</v>
      </c>
      <c r="H3" s="509" t="s">
        <v>984</v>
      </c>
      <c r="I3" s="510" t="s">
        <v>985</v>
      </c>
      <c r="J3" s="511" t="s">
        <v>986</v>
      </c>
      <c r="K3" s="512" t="s">
        <v>987</v>
      </c>
      <c r="L3" s="513" t="s">
        <v>988</v>
      </c>
      <c r="M3" s="514" t="s">
        <v>989</v>
      </c>
      <c r="N3" s="515" t="s">
        <v>990</v>
      </c>
      <c r="O3" s="516" t="s">
        <v>991</v>
      </c>
      <c r="P3" s="517" t="s">
        <v>992</v>
      </c>
      <c r="Q3" s="518" t="s">
        <v>993</v>
      </c>
      <c r="R3" s="506" t="s">
        <v>1015</v>
      </c>
      <c r="S3" s="457" t="s">
        <v>142</v>
      </c>
      <c r="T3" s="409"/>
      <c r="U3" s="14" t="s">
        <v>539</v>
      </c>
      <c r="V3" s="14" t="s">
        <v>537</v>
      </c>
      <c r="W3" s="14" t="s">
        <v>662</v>
      </c>
      <c r="X3" s="14" t="s">
        <v>531</v>
      </c>
      <c r="Y3" s="14" t="s">
        <v>950</v>
      </c>
      <c r="Z3" s="14" t="s">
        <v>530</v>
      </c>
      <c r="AA3" s="14" t="s">
        <v>948</v>
      </c>
      <c r="AB3" s="14" t="s">
        <v>535</v>
      </c>
      <c r="AC3" s="14" t="s">
        <v>658</v>
      </c>
      <c r="AD3" s="20" t="s">
        <v>533</v>
      </c>
      <c r="AE3" s="20" t="s">
        <v>891</v>
      </c>
      <c r="AF3" s="14" t="s">
        <v>659</v>
      </c>
      <c r="AG3" s="14" t="s">
        <v>660</v>
      </c>
      <c r="AH3" s="14" t="s">
        <v>999</v>
      </c>
      <c r="AI3" s="14" t="s">
        <v>704</v>
      </c>
      <c r="AJ3" s="14" t="s">
        <v>141</v>
      </c>
    </row>
    <row r="4" spans="1:51" ht="14">
      <c r="A4" s="402" t="s">
        <v>531</v>
      </c>
      <c r="B4" s="403">
        <v>15037984</v>
      </c>
      <c r="C4" s="403">
        <v>88</v>
      </c>
      <c r="D4" s="402" t="s">
        <v>652</v>
      </c>
      <c r="E4" s="402" t="s">
        <v>653</v>
      </c>
      <c r="F4" s="483">
        <v>23304.62</v>
      </c>
      <c r="G4" s="488">
        <v>29633.38</v>
      </c>
      <c r="H4" s="491">
        <v>28415.759999999998</v>
      </c>
      <c r="I4" s="493">
        <v>44694.28</v>
      </c>
      <c r="J4" s="495">
        <v>25769.71</v>
      </c>
      <c r="K4" s="499">
        <v>21161.69</v>
      </c>
      <c r="L4" s="502">
        <v>13783.69</v>
      </c>
      <c r="M4" s="504">
        <v>15571.15</v>
      </c>
      <c r="N4" s="491">
        <v>23613</v>
      </c>
      <c r="O4" s="522">
        <v>44664.95</v>
      </c>
      <c r="P4" s="522">
        <v>35335.61</v>
      </c>
      <c r="Q4" s="480">
        <v>29982.560000000001</v>
      </c>
      <c r="R4" s="412">
        <f>+SUM(F4:Q4)</f>
        <v>335930.39999999997</v>
      </c>
      <c r="S4" s="456">
        <f>+R4/$S$2</f>
        <v>55988.399999999994</v>
      </c>
      <c r="U4" s="9">
        <f t="shared" ref="U4:U35" si="2">+IF($A4=U$3,$R4,0)</f>
        <v>0</v>
      </c>
      <c r="V4" s="9">
        <f t="shared" ref="V4:AI4" si="3">+IF($A4=V$3,$R4,0)</f>
        <v>0</v>
      </c>
      <c r="W4" s="9">
        <f t="shared" si="3"/>
        <v>0</v>
      </c>
      <c r="X4" s="9">
        <f t="shared" si="3"/>
        <v>335930.39999999997</v>
      </c>
      <c r="Y4" s="9">
        <f t="shared" si="3"/>
        <v>0</v>
      </c>
      <c r="Z4" s="9">
        <f t="shared" si="3"/>
        <v>0</v>
      </c>
      <c r="AA4" s="9">
        <f t="shared" si="3"/>
        <v>0</v>
      </c>
      <c r="AB4" s="9">
        <f t="shared" si="3"/>
        <v>0</v>
      </c>
      <c r="AC4" s="9">
        <f t="shared" si="3"/>
        <v>0</v>
      </c>
      <c r="AD4" s="9">
        <f t="shared" si="3"/>
        <v>0</v>
      </c>
      <c r="AE4" s="9">
        <f t="shared" si="3"/>
        <v>0</v>
      </c>
      <c r="AF4" s="9">
        <f t="shared" si="3"/>
        <v>0</v>
      </c>
      <c r="AG4" s="9">
        <f t="shared" si="3"/>
        <v>0</v>
      </c>
      <c r="AH4" s="9">
        <f t="shared" si="3"/>
        <v>0</v>
      </c>
      <c r="AI4" s="9">
        <f t="shared" si="3"/>
        <v>0</v>
      </c>
      <c r="AJ4" s="365">
        <f>+SUM(U4:AI4)</f>
        <v>335930.39999999997</v>
      </c>
      <c r="AK4" s="460">
        <f>+AJ4-C4</f>
        <v>335842.39999999997</v>
      </c>
    </row>
    <row r="5" spans="1:51" ht="14">
      <c r="A5" s="402" t="s">
        <v>662</v>
      </c>
      <c r="B5" s="404">
        <v>15066057</v>
      </c>
      <c r="C5" s="404">
        <v>176</v>
      </c>
      <c r="D5" s="405"/>
      <c r="E5" s="405" t="s">
        <v>997</v>
      </c>
      <c r="F5" s="486">
        <v>16014.66</v>
      </c>
      <c r="G5" s="488">
        <v>15694.89</v>
      </c>
      <c r="H5" s="491">
        <v>17394.37</v>
      </c>
      <c r="I5" s="493">
        <v>14842.01</v>
      </c>
      <c r="J5" s="495">
        <v>9960.0300000000007</v>
      </c>
      <c r="K5" s="499">
        <v>9453.94</v>
      </c>
      <c r="L5" s="502">
        <v>8184.06</v>
      </c>
      <c r="M5" s="504">
        <v>8154.33</v>
      </c>
      <c r="N5" s="491">
        <v>15361.49</v>
      </c>
      <c r="O5" s="519">
        <v>15474.94</v>
      </c>
      <c r="P5" s="522">
        <v>12966.64</v>
      </c>
      <c r="Q5" s="480">
        <v>18812.38</v>
      </c>
      <c r="R5" s="412">
        <f t="shared" ref="R5:R68" si="4">+SUM(F5:Q5)</f>
        <v>162313.74000000002</v>
      </c>
      <c r="S5" s="456">
        <f t="shared" ref="S5:S75" si="5">+R5/$S$2</f>
        <v>27052.290000000005</v>
      </c>
      <c r="U5" s="9">
        <f t="shared" si="2"/>
        <v>0</v>
      </c>
      <c r="V5" s="9">
        <f t="shared" ref="V5:AI17" si="6">+IF($A5=V$3,$R5,0)</f>
        <v>0</v>
      </c>
      <c r="W5" s="9">
        <f t="shared" si="6"/>
        <v>162313.74000000002</v>
      </c>
      <c r="X5" s="9">
        <f t="shared" si="6"/>
        <v>0</v>
      </c>
      <c r="Y5" s="9">
        <f t="shared" si="6"/>
        <v>0</v>
      </c>
      <c r="Z5" s="9">
        <f t="shared" si="6"/>
        <v>0</v>
      </c>
      <c r="AA5" s="9">
        <f t="shared" si="6"/>
        <v>0</v>
      </c>
      <c r="AB5" s="9">
        <f t="shared" si="6"/>
        <v>0</v>
      </c>
      <c r="AC5" s="9">
        <f t="shared" si="6"/>
        <v>0</v>
      </c>
      <c r="AD5" s="9">
        <f t="shared" si="6"/>
        <v>0</v>
      </c>
      <c r="AE5" s="9">
        <f t="shared" si="6"/>
        <v>0</v>
      </c>
      <c r="AF5" s="9">
        <f t="shared" si="6"/>
        <v>0</v>
      </c>
      <c r="AG5" s="9">
        <f t="shared" si="6"/>
        <v>0</v>
      </c>
      <c r="AH5" s="9">
        <f t="shared" si="6"/>
        <v>0</v>
      </c>
      <c r="AI5" s="9">
        <f t="shared" si="6"/>
        <v>0</v>
      </c>
      <c r="AJ5" s="365">
        <f t="shared" ref="AJ5:AJ68" si="7">+SUM(U5:AI5)</f>
        <v>162313.74000000002</v>
      </c>
      <c r="AK5" s="460">
        <f t="shared" ref="AK5:AK68" si="8">+AJ5-C5</f>
        <v>162137.74000000002</v>
      </c>
    </row>
    <row r="6" spans="1:51" ht="14">
      <c r="A6" s="402" t="s">
        <v>1000</v>
      </c>
      <c r="B6" s="404">
        <v>15036764</v>
      </c>
      <c r="C6" s="404"/>
      <c r="D6" s="405"/>
      <c r="E6" s="405" t="s">
        <v>951</v>
      </c>
      <c r="F6" s="483">
        <v>100876.39</v>
      </c>
      <c r="G6" s="488">
        <v>76945.929999999993</v>
      </c>
      <c r="H6" s="491">
        <v>77125.3</v>
      </c>
      <c r="I6" s="493">
        <v>84427.36</v>
      </c>
      <c r="J6" s="495">
        <v>75102.3</v>
      </c>
      <c r="K6" s="499">
        <v>65790.23</v>
      </c>
      <c r="L6" s="502">
        <v>113097.97</v>
      </c>
      <c r="M6" s="504">
        <v>119474.88</v>
      </c>
      <c r="N6" s="519">
        <v>135839.21</v>
      </c>
      <c r="O6" s="519">
        <v>123231.49</v>
      </c>
      <c r="P6" s="522">
        <v>134727.85</v>
      </c>
      <c r="Q6" s="480">
        <v>125530.75</v>
      </c>
      <c r="R6" s="412">
        <f t="shared" si="4"/>
        <v>1232169.6599999999</v>
      </c>
      <c r="S6" s="456">
        <f t="shared" si="5"/>
        <v>205361.61</v>
      </c>
      <c r="T6" s="412"/>
      <c r="U6" s="9">
        <f t="shared" si="2"/>
        <v>0</v>
      </c>
      <c r="V6" s="9">
        <f t="shared" si="6"/>
        <v>0</v>
      </c>
      <c r="W6" s="9">
        <f t="shared" si="6"/>
        <v>0</v>
      </c>
      <c r="X6" s="9">
        <f t="shared" si="6"/>
        <v>0</v>
      </c>
      <c r="Y6" s="9">
        <f t="shared" si="6"/>
        <v>0</v>
      </c>
      <c r="Z6" s="9">
        <f t="shared" si="6"/>
        <v>0</v>
      </c>
      <c r="AA6" s="9">
        <f t="shared" si="6"/>
        <v>0</v>
      </c>
      <c r="AB6" s="9">
        <f t="shared" si="6"/>
        <v>0</v>
      </c>
      <c r="AC6" s="9">
        <f t="shared" si="6"/>
        <v>0</v>
      </c>
      <c r="AD6" s="9">
        <f t="shared" si="6"/>
        <v>0</v>
      </c>
      <c r="AE6" s="9">
        <f t="shared" si="6"/>
        <v>0</v>
      </c>
      <c r="AF6" s="9">
        <f t="shared" si="6"/>
        <v>0</v>
      </c>
      <c r="AG6" s="9">
        <f t="shared" si="6"/>
        <v>0</v>
      </c>
      <c r="AH6" s="9">
        <f t="shared" si="6"/>
        <v>1232169.6599999999</v>
      </c>
      <c r="AI6" s="9">
        <f t="shared" si="6"/>
        <v>0</v>
      </c>
      <c r="AJ6" s="365">
        <f t="shared" si="7"/>
        <v>1232169.6599999999</v>
      </c>
      <c r="AK6" s="460">
        <f t="shared" si="8"/>
        <v>1232169.6599999999</v>
      </c>
      <c r="AM6" t="s">
        <v>957</v>
      </c>
      <c r="AN6" s="458">
        <f>+U2</f>
        <v>0</v>
      </c>
      <c r="AO6" s="456">
        <f>+AN6*11.764706</f>
        <v>0</v>
      </c>
      <c r="AQ6" s="456">
        <f>+AN6*181</f>
        <v>0</v>
      </c>
      <c r="AS6" s="458"/>
      <c r="AT6" s="456">
        <f>+AS6*11.764706</f>
        <v>0</v>
      </c>
      <c r="AU6" s="456">
        <f>+AT6*0.085</f>
        <v>0</v>
      </c>
      <c r="AW6" s="460">
        <f>+AO6+AT6</f>
        <v>0</v>
      </c>
    </row>
    <row r="7" spans="1:51" ht="14">
      <c r="A7" s="402" t="s">
        <v>705</v>
      </c>
      <c r="B7" s="404">
        <v>15037169</v>
      </c>
      <c r="C7" s="404">
        <v>37</v>
      </c>
      <c r="D7" s="405"/>
      <c r="E7" s="405" t="s">
        <v>939</v>
      </c>
      <c r="F7" s="483">
        <v>3092</v>
      </c>
      <c r="G7" s="488">
        <v>3555.38</v>
      </c>
      <c r="H7" s="491">
        <v>4013.43</v>
      </c>
      <c r="I7" s="493">
        <v>4307.99</v>
      </c>
      <c r="J7" s="495">
        <v>2140.27</v>
      </c>
      <c r="K7" s="499">
        <v>1188.95</v>
      </c>
      <c r="L7" s="502">
        <v>642.51</v>
      </c>
      <c r="M7" s="504">
        <v>908.27</v>
      </c>
      <c r="N7" s="491">
        <v>2584.86</v>
      </c>
      <c r="O7" s="519">
        <v>3537.63</v>
      </c>
      <c r="P7" s="522">
        <v>1019.89</v>
      </c>
      <c r="Q7" s="480"/>
      <c r="R7" s="412">
        <f t="shared" si="4"/>
        <v>26991.18</v>
      </c>
      <c r="S7" s="456">
        <f t="shared" si="5"/>
        <v>4498.53</v>
      </c>
      <c r="U7" s="9">
        <f t="shared" si="2"/>
        <v>0</v>
      </c>
      <c r="V7" s="9">
        <f t="shared" si="6"/>
        <v>0</v>
      </c>
      <c r="W7" s="9">
        <f t="shared" si="6"/>
        <v>0</v>
      </c>
      <c r="X7" s="9">
        <f t="shared" si="6"/>
        <v>0</v>
      </c>
      <c r="Y7" s="9">
        <f t="shared" si="6"/>
        <v>0</v>
      </c>
      <c r="Z7" s="9">
        <f t="shared" si="6"/>
        <v>0</v>
      </c>
      <c r="AA7" s="9">
        <f t="shared" si="6"/>
        <v>0</v>
      </c>
      <c r="AB7" s="9">
        <f t="shared" si="6"/>
        <v>0</v>
      </c>
      <c r="AC7" s="9">
        <f t="shared" si="6"/>
        <v>0</v>
      </c>
      <c r="AD7" s="9">
        <f t="shared" si="6"/>
        <v>0</v>
      </c>
      <c r="AE7" s="9">
        <f t="shared" si="6"/>
        <v>0</v>
      </c>
      <c r="AF7" s="9">
        <f t="shared" si="6"/>
        <v>0</v>
      </c>
      <c r="AG7" s="9">
        <f t="shared" si="6"/>
        <v>0</v>
      </c>
      <c r="AH7" s="9">
        <f t="shared" si="6"/>
        <v>0</v>
      </c>
      <c r="AI7" s="9">
        <f t="shared" si="6"/>
        <v>26991.18</v>
      </c>
      <c r="AJ7" s="365">
        <f t="shared" si="7"/>
        <v>26991.18</v>
      </c>
      <c r="AK7" s="460">
        <f t="shared" si="8"/>
        <v>26954.18</v>
      </c>
      <c r="AM7" t="s">
        <v>958</v>
      </c>
      <c r="AN7" s="458">
        <f>+V2</f>
        <v>1224726.04</v>
      </c>
      <c r="AO7" s="456">
        <f t="shared" ref="AO7:AO18" si="9">+AN7*11.764706</f>
        <v>14408541.791144241</v>
      </c>
      <c r="AP7" s="456">
        <f>+AN7*181</f>
        <v>221675413.24000001</v>
      </c>
      <c r="AQ7" s="456">
        <v>7378835</v>
      </c>
      <c r="AR7" s="525">
        <f>+AQ7/$AQ$19</f>
        <v>7.8659952807663441E-2</v>
      </c>
      <c r="AS7" s="458">
        <f>+'2020'!AE118</f>
        <v>274233.39</v>
      </c>
      <c r="AT7" s="456">
        <f t="shared" ref="AT7:AT18" si="10">+AS7*11.764706</f>
        <v>3226275.2087333403</v>
      </c>
      <c r="AU7" s="456">
        <f t="shared" ref="AU7:AU18" si="11">+AT7*0.085</f>
        <v>274233.39274233393</v>
      </c>
      <c r="AW7" s="460">
        <f t="shared" ref="AW7:AW18" si="12">+AO7+AT7</f>
        <v>17634816.99987758</v>
      </c>
      <c r="AY7" s="458">
        <f>+AN7+AS7</f>
        <v>1498959.4300000002</v>
      </c>
    </row>
    <row r="8" spans="1:51" ht="14">
      <c r="A8" s="402" t="s">
        <v>530</v>
      </c>
      <c r="B8" s="404">
        <v>15071882</v>
      </c>
      <c r="C8" s="404">
        <v>95</v>
      </c>
      <c r="D8" s="405"/>
      <c r="E8" s="405" t="s">
        <v>973</v>
      </c>
      <c r="F8" s="490"/>
      <c r="G8" s="487"/>
      <c r="H8" s="491">
        <v>13913.49</v>
      </c>
      <c r="I8" s="493">
        <v>18503.009999999998</v>
      </c>
      <c r="J8" s="499">
        <v>11058.23</v>
      </c>
      <c r="K8" s="499">
        <v>7860.53</v>
      </c>
      <c r="L8" s="502">
        <v>5859.63</v>
      </c>
      <c r="M8" s="504">
        <v>6609.12</v>
      </c>
      <c r="N8" s="519">
        <v>10432.219999999999</v>
      </c>
      <c r="O8" s="519">
        <v>17351.95</v>
      </c>
      <c r="P8" s="522">
        <v>17448.36</v>
      </c>
      <c r="Q8" s="480">
        <v>15072.97</v>
      </c>
      <c r="R8" s="412">
        <f t="shared" si="4"/>
        <v>124109.51</v>
      </c>
      <c r="U8" s="9">
        <f t="shared" si="2"/>
        <v>0</v>
      </c>
      <c r="V8" s="9">
        <f t="shared" si="6"/>
        <v>0</v>
      </c>
      <c r="W8" s="9">
        <f t="shared" si="6"/>
        <v>0</v>
      </c>
      <c r="X8" s="9">
        <f t="shared" si="6"/>
        <v>0</v>
      </c>
      <c r="Y8" s="9">
        <f t="shared" si="6"/>
        <v>0</v>
      </c>
      <c r="Z8" s="9">
        <f t="shared" si="6"/>
        <v>124109.51</v>
      </c>
      <c r="AA8" s="9">
        <f t="shared" si="6"/>
        <v>0</v>
      </c>
      <c r="AB8" s="9">
        <f t="shared" si="6"/>
        <v>0</v>
      </c>
      <c r="AC8" s="9">
        <f t="shared" si="6"/>
        <v>0</v>
      </c>
      <c r="AD8" s="9">
        <f t="shared" si="6"/>
        <v>0</v>
      </c>
      <c r="AE8" s="9">
        <f t="shared" si="6"/>
        <v>0</v>
      </c>
      <c r="AF8" s="9">
        <f t="shared" si="6"/>
        <v>0</v>
      </c>
      <c r="AG8" s="9">
        <f t="shared" si="6"/>
        <v>0</v>
      </c>
      <c r="AH8" s="9">
        <f t="shared" si="6"/>
        <v>0</v>
      </c>
      <c r="AI8" s="9">
        <f t="shared" si="6"/>
        <v>0</v>
      </c>
      <c r="AJ8" s="365">
        <f t="shared" si="7"/>
        <v>124109.51</v>
      </c>
      <c r="AK8" s="460">
        <f t="shared" si="8"/>
        <v>124014.51</v>
      </c>
      <c r="AN8" s="458"/>
      <c r="AS8" s="458"/>
      <c r="AW8" s="460"/>
      <c r="AY8" s="458"/>
    </row>
    <row r="9" spans="1:51" ht="14">
      <c r="A9" s="402" t="s">
        <v>533</v>
      </c>
      <c r="B9" s="403">
        <v>15008670</v>
      </c>
      <c r="C9" s="403">
        <v>100</v>
      </c>
      <c r="D9" s="402" t="s">
        <v>114</v>
      </c>
      <c r="E9" s="402" t="s">
        <v>114</v>
      </c>
      <c r="F9" s="483">
        <v>6131.83</v>
      </c>
      <c r="G9" s="488">
        <v>5363.31</v>
      </c>
      <c r="H9" s="491">
        <v>6865.09</v>
      </c>
      <c r="I9" s="493">
        <v>6560.41</v>
      </c>
      <c r="J9" s="495">
        <v>5742.13</v>
      </c>
      <c r="K9" s="499">
        <v>7015.83</v>
      </c>
      <c r="L9" s="502">
        <v>10249.5</v>
      </c>
      <c r="M9" s="504">
        <v>8872.86</v>
      </c>
      <c r="N9" s="491">
        <v>7661.3</v>
      </c>
      <c r="O9" s="519">
        <v>8598.69</v>
      </c>
      <c r="P9" s="522">
        <v>11240.92</v>
      </c>
      <c r="Q9" s="480">
        <v>11496.05</v>
      </c>
      <c r="R9" s="412">
        <f t="shared" si="4"/>
        <v>95797.92</v>
      </c>
      <c r="S9" s="456">
        <f t="shared" si="5"/>
        <v>15966.32</v>
      </c>
      <c r="U9" s="9">
        <f t="shared" si="2"/>
        <v>0</v>
      </c>
      <c r="V9" s="9">
        <f t="shared" si="6"/>
        <v>0</v>
      </c>
      <c r="W9" s="9">
        <f t="shared" si="6"/>
        <v>0</v>
      </c>
      <c r="X9" s="9">
        <f t="shared" si="6"/>
        <v>0</v>
      </c>
      <c r="Y9" s="9">
        <f t="shared" si="6"/>
        <v>0</v>
      </c>
      <c r="Z9" s="9">
        <f t="shared" si="6"/>
        <v>0</v>
      </c>
      <c r="AA9" s="9">
        <f t="shared" si="6"/>
        <v>0</v>
      </c>
      <c r="AB9" s="9">
        <f t="shared" si="6"/>
        <v>0</v>
      </c>
      <c r="AC9" s="9">
        <f t="shared" si="6"/>
        <v>0</v>
      </c>
      <c r="AD9" s="9">
        <f t="shared" si="6"/>
        <v>95797.92</v>
      </c>
      <c r="AE9" s="9">
        <f t="shared" si="6"/>
        <v>0</v>
      </c>
      <c r="AF9" s="9">
        <f t="shared" si="6"/>
        <v>0</v>
      </c>
      <c r="AG9" s="9">
        <f t="shared" si="6"/>
        <v>0</v>
      </c>
      <c r="AH9" s="9">
        <f t="shared" si="6"/>
        <v>0</v>
      </c>
      <c r="AI9" s="9">
        <f t="shared" si="6"/>
        <v>0</v>
      </c>
      <c r="AJ9" s="365">
        <f t="shared" si="7"/>
        <v>95797.92</v>
      </c>
      <c r="AK9" s="460">
        <f t="shared" si="8"/>
        <v>95697.919999999998</v>
      </c>
      <c r="AM9" t="s">
        <v>959</v>
      </c>
      <c r="AN9" s="458">
        <f>+W2</f>
        <v>451415.00000000006</v>
      </c>
      <c r="AO9" s="456">
        <f t="shared" si="9"/>
        <v>5310764.7589900009</v>
      </c>
      <c r="AP9" s="456">
        <f t="shared" ref="AP9:AP16" si="13">+AN9*181</f>
        <v>81706115.000000015</v>
      </c>
      <c r="AQ9" s="456">
        <v>2484622</v>
      </c>
      <c r="AR9" s="525">
        <f t="shared" ref="AR9:AR18" si="14">+AQ9/$AQ$19</f>
        <v>2.6486599749809065E-2</v>
      </c>
      <c r="AS9" s="458">
        <f>+'2020'!AF118</f>
        <v>92074.87000000001</v>
      </c>
      <c r="AT9" s="456">
        <f t="shared" si="10"/>
        <v>1083233.7755382201</v>
      </c>
      <c r="AU9" s="456">
        <f t="shared" si="11"/>
        <v>92074.870920748712</v>
      </c>
      <c r="AW9" s="460">
        <f t="shared" si="12"/>
        <v>6393998.534528221</v>
      </c>
      <c r="AY9" s="458">
        <f t="shared" ref="AY9:AY18" si="15">+AN9+AS9</f>
        <v>543489.87000000011</v>
      </c>
    </row>
    <row r="10" spans="1:51" ht="14">
      <c r="A10" s="402" t="s">
        <v>664</v>
      </c>
      <c r="B10" s="403">
        <v>70000000</v>
      </c>
      <c r="C10" s="403">
        <v>42</v>
      </c>
      <c r="D10" s="402" t="s">
        <v>229</v>
      </c>
      <c r="E10" s="402" t="s">
        <v>229</v>
      </c>
      <c r="F10" s="483">
        <v>1402.33</v>
      </c>
      <c r="G10" s="488">
        <v>1360.43</v>
      </c>
      <c r="H10" s="491">
        <v>1482.49</v>
      </c>
      <c r="I10" s="493">
        <v>1605.23</v>
      </c>
      <c r="J10" s="495">
        <v>1582.62</v>
      </c>
      <c r="K10" s="499">
        <v>1680.88</v>
      </c>
      <c r="L10" s="502">
        <v>1536.46</v>
      </c>
      <c r="M10" s="504">
        <v>1598.85</v>
      </c>
      <c r="N10" s="491">
        <v>1670.76</v>
      </c>
      <c r="O10" s="519">
        <v>1738.68</v>
      </c>
      <c r="P10" s="522">
        <v>1717.85</v>
      </c>
      <c r="Q10" s="480"/>
      <c r="R10" s="412">
        <f t="shared" si="4"/>
        <v>17376.579999999998</v>
      </c>
      <c r="S10" s="456">
        <f t="shared" si="5"/>
        <v>2896.0966666666664</v>
      </c>
      <c r="U10" s="9">
        <f t="shared" si="2"/>
        <v>0</v>
      </c>
      <c r="V10" s="9">
        <f t="shared" si="6"/>
        <v>0</v>
      </c>
      <c r="W10" s="9">
        <f t="shared" si="6"/>
        <v>0</v>
      </c>
      <c r="X10" s="9">
        <f t="shared" si="6"/>
        <v>0</v>
      </c>
      <c r="Y10" s="9">
        <f t="shared" si="6"/>
        <v>0</v>
      </c>
      <c r="Z10" s="9">
        <f t="shared" si="6"/>
        <v>0</v>
      </c>
      <c r="AA10" s="9">
        <f t="shared" si="6"/>
        <v>0</v>
      </c>
      <c r="AB10" s="9">
        <f t="shared" si="6"/>
        <v>0</v>
      </c>
      <c r="AC10" s="9">
        <f t="shared" si="6"/>
        <v>0</v>
      </c>
      <c r="AD10" s="9">
        <f t="shared" si="6"/>
        <v>0</v>
      </c>
      <c r="AE10" s="9">
        <f t="shared" si="6"/>
        <v>0</v>
      </c>
      <c r="AF10" s="9">
        <f t="shared" si="6"/>
        <v>0</v>
      </c>
      <c r="AG10" s="9">
        <f t="shared" si="6"/>
        <v>17376.579999999998</v>
      </c>
      <c r="AH10" s="9">
        <f t="shared" si="6"/>
        <v>0</v>
      </c>
      <c r="AI10" s="9">
        <f t="shared" si="6"/>
        <v>0</v>
      </c>
      <c r="AJ10" s="365">
        <f t="shared" si="7"/>
        <v>17376.579999999998</v>
      </c>
      <c r="AK10" s="460">
        <f t="shared" si="8"/>
        <v>17334.579999999998</v>
      </c>
      <c r="AM10" t="s">
        <v>960</v>
      </c>
      <c r="AN10" s="458">
        <f>+X2</f>
        <v>3420257.0100000007</v>
      </c>
      <c r="AO10" s="456">
        <f t="shared" si="9"/>
        <v>40238318.167089067</v>
      </c>
      <c r="AP10" s="456">
        <f t="shared" si="13"/>
        <v>619066518.81000018</v>
      </c>
      <c r="AQ10" s="456">
        <v>21235529</v>
      </c>
      <c r="AR10" s="525">
        <f t="shared" si="14"/>
        <v>0.2263752623531721</v>
      </c>
      <c r="AS10" s="458">
        <f>+'2020'!AG118</f>
        <v>609502.32999999984</v>
      </c>
      <c r="AT10" s="456">
        <f t="shared" si="10"/>
        <v>7170615.7187649785</v>
      </c>
      <c r="AU10" s="456">
        <f t="shared" si="11"/>
        <v>609502.3360950232</v>
      </c>
      <c r="AW10" s="460">
        <f t="shared" si="12"/>
        <v>47408933.885854043</v>
      </c>
      <c r="AY10" s="458">
        <f t="shared" si="15"/>
        <v>4029759.3400000008</v>
      </c>
    </row>
    <row r="11" spans="1:51" ht="14">
      <c r="A11" s="402" t="s">
        <v>1000</v>
      </c>
      <c r="B11" s="403">
        <v>15057248</v>
      </c>
      <c r="C11" s="403"/>
      <c r="D11" s="402"/>
      <c r="E11" s="402" t="s">
        <v>979</v>
      </c>
      <c r="F11" s="483">
        <v>528</v>
      </c>
      <c r="G11" s="488">
        <v>214.88</v>
      </c>
      <c r="H11" s="490"/>
      <c r="I11" s="493">
        <v>349.19</v>
      </c>
      <c r="J11" s="495">
        <v>461.89</v>
      </c>
      <c r="K11" s="490"/>
      <c r="L11" s="490"/>
      <c r="M11" s="490"/>
      <c r="N11" s="490"/>
      <c r="O11" s="490"/>
      <c r="P11" s="490"/>
      <c r="Q11" s="480">
        <v>1867.11</v>
      </c>
      <c r="R11" s="412">
        <f t="shared" si="4"/>
        <v>3421.0699999999997</v>
      </c>
      <c r="S11" s="456">
        <f t="shared" si="5"/>
        <v>570.17833333333328</v>
      </c>
      <c r="U11" s="9">
        <f t="shared" si="2"/>
        <v>0</v>
      </c>
      <c r="V11" s="9">
        <f t="shared" si="6"/>
        <v>0</v>
      </c>
      <c r="W11" s="9">
        <f t="shared" si="6"/>
        <v>0</v>
      </c>
      <c r="X11" s="9">
        <f t="shared" si="6"/>
        <v>0</v>
      </c>
      <c r="Y11" s="9">
        <f t="shared" si="6"/>
        <v>0</v>
      </c>
      <c r="Z11" s="9">
        <f t="shared" si="6"/>
        <v>0</v>
      </c>
      <c r="AA11" s="9">
        <f t="shared" si="6"/>
        <v>0</v>
      </c>
      <c r="AB11" s="9">
        <f t="shared" si="6"/>
        <v>0</v>
      </c>
      <c r="AC11" s="9">
        <f t="shared" si="6"/>
        <v>0</v>
      </c>
      <c r="AD11" s="9">
        <f t="shared" si="6"/>
        <v>0</v>
      </c>
      <c r="AE11" s="9">
        <f t="shared" si="6"/>
        <v>0</v>
      </c>
      <c r="AF11" s="9">
        <f t="shared" si="6"/>
        <v>0</v>
      </c>
      <c r="AG11" s="9">
        <f t="shared" si="6"/>
        <v>0</v>
      </c>
      <c r="AH11" s="9">
        <f t="shared" si="6"/>
        <v>3421.0699999999997</v>
      </c>
      <c r="AI11" s="9">
        <f t="shared" si="6"/>
        <v>0</v>
      </c>
      <c r="AJ11" s="365">
        <f t="shared" si="7"/>
        <v>3421.0699999999997</v>
      </c>
      <c r="AK11" s="460">
        <f t="shared" si="8"/>
        <v>3421.0699999999997</v>
      </c>
      <c r="AM11" t="s">
        <v>961</v>
      </c>
      <c r="AN11" s="458">
        <f>+Z2</f>
        <v>2542519.38</v>
      </c>
      <c r="AO11" s="456">
        <f t="shared" si="9"/>
        <v>29911993.005002279</v>
      </c>
      <c r="AP11" s="456">
        <f t="shared" si="13"/>
        <v>460196007.77999997</v>
      </c>
      <c r="AQ11" s="456">
        <v>14284809</v>
      </c>
      <c r="AR11" s="525">
        <f t="shared" si="14"/>
        <v>0.15227910663492084</v>
      </c>
      <c r="AS11" s="458">
        <f>+'2020'!AI118</f>
        <v>408788.39</v>
      </c>
      <c r="AT11" s="456">
        <f t="shared" si="10"/>
        <v>4809275.2245633407</v>
      </c>
      <c r="AU11" s="456">
        <f t="shared" si="11"/>
        <v>408788.39408788399</v>
      </c>
      <c r="AW11" s="460">
        <f t="shared" si="12"/>
        <v>34721268.22956562</v>
      </c>
      <c r="AY11" s="458">
        <f t="shared" si="15"/>
        <v>2951307.77</v>
      </c>
    </row>
    <row r="12" spans="1:51" ht="14">
      <c r="A12" s="402" t="s">
        <v>664</v>
      </c>
      <c r="B12" s="403">
        <v>15051606</v>
      </c>
      <c r="C12" s="403">
        <v>250</v>
      </c>
      <c r="D12" s="402" t="s">
        <v>639</v>
      </c>
      <c r="E12" s="402" t="s">
        <v>940</v>
      </c>
      <c r="F12" s="483">
        <v>43109.81</v>
      </c>
      <c r="G12" s="488">
        <v>49591.34</v>
      </c>
      <c r="H12" s="491">
        <v>42184.66</v>
      </c>
      <c r="I12" s="493">
        <v>68592.03</v>
      </c>
      <c r="J12" s="495">
        <v>33676.089999999997</v>
      </c>
      <c r="K12" s="499">
        <v>26884.93</v>
      </c>
      <c r="L12" s="502">
        <v>17314.349999999999</v>
      </c>
      <c r="M12" s="504">
        <v>20994.36</v>
      </c>
      <c r="N12" s="491">
        <v>33665.19</v>
      </c>
      <c r="O12" s="520">
        <v>61667.48</v>
      </c>
      <c r="P12" s="522">
        <v>46153.61</v>
      </c>
      <c r="Q12" s="480">
        <v>45458.2</v>
      </c>
      <c r="R12" s="412">
        <f t="shared" si="4"/>
        <v>489292.04999999993</v>
      </c>
      <c r="S12" s="456">
        <f t="shared" si="5"/>
        <v>81548.674999999988</v>
      </c>
      <c r="U12" s="9">
        <f t="shared" si="2"/>
        <v>0</v>
      </c>
      <c r="V12" s="9">
        <f t="shared" si="6"/>
        <v>0</v>
      </c>
      <c r="W12" s="9">
        <f t="shared" si="6"/>
        <v>0</v>
      </c>
      <c r="X12" s="9">
        <f t="shared" si="6"/>
        <v>0</v>
      </c>
      <c r="Y12" s="9">
        <f t="shared" si="6"/>
        <v>0</v>
      </c>
      <c r="Z12" s="9">
        <f t="shared" si="6"/>
        <v>0</v>
      </c>
      <c r="AA12" s="9">
        <f t="shared" si="6"/>
        <v>0</v>
      </c>
      <c r="AB12" s="9">
        <f t="shared" si="6"/>
        <v>0</v>
      </c>
      <c r="AC12" s="9">
        <f t="shared" si="6"/>
        <v>0</v>
      </c>
      <c r="AD12" s="9">
        <f t="shared" si="6"/>
        <v>0</v>
      </c>
      <c r="AE12" s="9">
        <f t="shared" si="6"/>
        <v>0</v>
      </c>
      <c r="AF12" s="9">
        <f t="shared" si="6"/>
        <v>0</v>
      </c>
      <c r="AG12" s="9">
        <f t="shared" si="6"/>
        <v>489292.04999999993</v>
      </c>
      <c r="AH12" s="9">
        <f t="shared" si="6"/>
        <v>0</v>
      </c>
      <c r="AI12" s="9">
        <f t="shared" si="6"/>
        <v>0</v>
      </c>
      <c r="AJ12" s="365">
        <f t="shared" si="7"/>
        <v>489292.04999999993</v>
      </c>
      <c r="AK12" s="460">
        <f t="shared" si="8"/>
        <v>489042.04999999993</v>
      </c>
      <c r="AM12" t="s">
        <v>663</v>
      </c>
      <c r="AN12" s="458">
        <f>+AB2</f>
        <v>3217163.7200000007</v>
      </c>
      <c r="AO12" s="456">
        <f t="shared" si="9"/>
        <v>37848985.319666326</v>
      </c>
      <c r="AP12" s="456">
        <f t="shared" si="13"/>
        <v>582306633.32000017</v>
      </c>
      <c r="AQ12" s="456">
        <v>17922362</v>
      </c>
      <c r="AR12" s="525">
        <f t="shared" si="14"/>
        <v>0.19105619642150296</v>
      </c>
      <c r="AS12" s="458">
        <f>+'2020'!AK118</f>
        <v>665033.63000000012</v>
      </c>
      <c r="AT12" s="456">
        <f t="shared" si="10"/>
        <v>7823925.1370627815</v>
      </c>
      <c r="AU12" s="456">
        <f t="shared" si="11"/>
        <v>665033.63665033644</v>
      </c>
      <c r="AW12" s="460">
        <f t="shared" si="12"/>
        <v>45672910.456729107</v>
      </c>
      <c r="AY12" s="458">
        <f t="shared" si="15"/>
        <v>3882197.3500000006</v>
      </c>
    </row>
    <row r="13" spans="1:51" ht="14">
      <c r="A13" s="402" t="s">
        <v>535</v>
      </c>
      <c r="B13" s="403">
        <v>7003201</v>
      </c>
      <c r="C13" s="403">
        <v>80</v>
      </c>
      <c r="D13" s="402" t="s">
        <v>525</v>
      </c>
      <c r="E13" s="402" t="s">
        <v>385</v>
      </c>
      <c r="F13" s="483">
        <v>16175.22</v>
      </c>
      <c r="G13" s="488">
        <v>15033.32</v>
      </c>
      <c r="H13" s="491">
        <v>13819.66</v>
      </c>
      <c r="I13" s="493">
        <v>15161.72</v>
      </c>
      <c r="J13" s="499">
        <f>11686.91</f>
        <v>11686.91</v>
      </c>
      <c r="K13" s="499">
        <f>8763.4</f>
        <v>8763.4</v>
      </c>
      <c r="L13" s="502">
        <v>10262.1</v>
      </c>
      <c r="M13" s="504">
        <v>8476.4500000000007</v>
      </c>
      <c r="N13" s="519">
        <v>10914.53</v>
      </c>
      <c r="O13" s="520">
        <v>14165.99</v>
      </c>
      <c r="P13" s="522">
        <v>12207.83</v>
      </c>
      <c r="Q13" s="480">
        <v>13981.4</v>
      </c>
      <c r="R13" s="412">
        <f t="shared" si="4"/>
        <v>150648.53</v>
      </c>
      <c r="S13" s="456">
        <f t="shared" si="5"/>
        <v>25108.088333333333</v>
      </c>
      <c r="U13" s="9">
        <f t="shared" si="2"/>
        <v>0</v>
      </c>
      <c r="V13" s="9">
        <f t="shared" si="6"/>
        <v>0</v>
      </c>
      <c r="W13" s="9">
        <f t="shared" si="6"/>
        <v>0</v>
      </c>
      <c r="X13" s="9">
        <f t="shared" si="6"/>
        <v>0</v>
      </c>
      <c r="Y13" s="9">
        <f t="shared" si="6"/>
        <v>0</v>
      </c>
      <c r="Z13" s="9">
        <f t="shared" si="6"/>
        <v>0</v>
      </c>
      <c r="AA13" s="9">
        <f t="shared" si="6"/>
        <v>0</v>
      </c>
      <c r="AB13" s="9">
        <f t="shared" si="6"/>
        <v>150648.53</v>
      </c>
      <c r="AC13" s="9">
        <f t="shared" si="6"/>
        <v>0</v>
      </c>
      <c r="AD13" s="9">
        <f t="shared" si="6"/>
        <v>0</v>
      </c>
      <c r="AE13" s="9">
        <f t="shared" si="6"/>
        <v>0</v>
      </c>
      <c r="AF13" s="9">
        <f t="shared" si="6"/>
        <v>0</v>
      </c>
      <c r="AG13" s="9">
        <f t="shared" si="6"/>
        <v>0</v>
      </c>
      <c r="AH13" s="9">
        <f t="shared" si="6"/>
        <v>0</v>
      </c>
      <c r="AI13" s="9">
        <f t="shared" si="6"/>
        <v>0</v>
      </c>
      <c r="AJ13" s="365">
        <f t="shared" si="7"/>
        <v>150648.53</v>
      </c>
      <c r="AK13" s="460">
        <f t="shared" si="8"/>
        <v>150568.53</v>
      </c>
      <c r="AM13" t="s">
        <v>962</v>
      </c>
      <c r="AN13" s="458">
        <f>+AC2</f>
        <v>2007944.5999999999</v>
      </c>
      <c r="AO13" s="456">
        <f t="shared" si="9"/>
        <v>23622877.883287597</v>
      </c>
      <c r="AP13" s="456">
        <f t="shared" si="13"/>
        <v>363437972.59999996</v>
      </c>
      <c r="AQ13" s="456">
        <v>11443138</v>
      </c>
      <c r="AR13" s="525">
        <f t="shared" si="14"/>
        <v>0.12198628849290982</v>
      </c>
      <c r="AS13" s="458">
        <f>+'2020'!AL118</f>
        <v>370955.83</v>
      </c>
      <c r="AT13" s="456">
        <f t="shared" si="10"/>
        <v>4364186.2789359801</v>
      </c>
      <c r="AU13" s="456">
        <f t="shared" si="11"/>
        <v>370955.83370955836</v>
      </c>
      <c r="AW13" s="460">
        <f t="shared" si="12"/>
        <v>27987064.162223577</v>
      </c>
      <c r="AY13" s="458">
        <f t="shared" si="15"/>
        <v>2378900.4299999997</v>
      </c>
    </row>
    <row r="14" spans="1:51" ht="14">
      <c r="A14" s="402" t="s">
        <v>660</v>
      </c>
      <c r="B14" s="403">
        <v>15070988</v>
      </c>
      <c r="C14" s="403">
        <v>105</v>
      </c>
      <c r="D14" s="402"/>
      <c r="E14" s="402" t="s">
        <v>974</v>
      </c>
      <c r="F14" s="490"/>
      <c r="G14" s="490"/>
      <c r="H14" s="490"/>
      <c r="I14" s="493">
        <v>9513.2999999999993</v>
      </c>
      <c r="J14" s="495">
        <v>6153.02</v>
      </c>
      <c r="K14" s="499">
        <v>5013.7</v>
      </c>
      <c r="L14" s="502">
        <v>6221.21</v>
      </c>
      <c r="M14" s="504">
        <v>8267.86</v>
      </c>
      <c r="N14" s="491">
        <v>16065.17</v>
      </c>
      <c r="O14" s="520">
        <v>23335.98</v>
      </c>
      <c r="P14" s="522">
        <v>17686.740000000002</v>
      </c>
      <c r="Q14" s="480">
        <v>18005.86</v>
      </c>
      <c r="R14" s="412">
        <f t="shared" si="4"/>
        <v>110262.84</v>
      </c>
      <c r="U14" s="9">
        <f t="shared" si="2"/>
        <v>0</v>
      </c>
      <c r="V14" s="9">
        <f t="shared" si="6"/>
        <v>0</v>
      </c>
      <c r="W14" s="9">
        <f t="shared" si="6"/>
        <v>0</v>
      </c>
      <c r="X14" s="9">
        <f t="shared" si="6"/>
        <v>0</v>
      </c>
      <c r="Y14" s="9">
        <f t="shared" si="6"/>
        <v>0</v>
      </c>
      <c r="Z14" s="9">
        <f t="shared" si="6"/>
        <v>0</v>
      </c>
      <c r="AA14" s="9">
        <f t="shared" si="6"/>
        <v>0</v>
      </c>
      <c r="AB14" s="9">
        <f t="shared" si="6"/>
        <v>0</v>
      </c>
      <c r="AC14" s="9">
        <f t="shared" si="6"/>
        <v>0</v>
      </c>
      <c r="AD14" s="9">
        <f t="shared" si="6"/>
        <v>0</v>
      </c>
      <c r="AE14" s="9">
        <f t="shared" si="6"/>
        <v>0</v>
      </c>
      <c r="AF14" s="9">
        <f t="shared" si="6"/>
        <v>0</v>
      </c>
      <c r="AG14" s="9">
        <f t="shared" si="6"/>
        <v>110262.84</v>
      </c>
      <c r="AH14" s="9">
        <f t="shared" si="6"/>
        <v>0</v>
      </c>
      <c r="AI14" s="9">
        <f t="shared" si="6"/>
        <v>0</v>
      </c>
      <c r="AJ14" s="365">
        <f t="shared" si="7"/>
        <v>110262.84</v>
      </c>
      <c r="AK14" s="460">
        <f t="shared" si="8"/>
        <v>110157.84</v>
      </c>
      <c r="AM14" t="s">
        <v>963</v>
      </c>
      <c r="AN14" s="458">
        <f>+AD2</f>
        <v>963847.69</v>
      </c>
      <c r="AO14" s="456">
        <f>+AN14*11.764706</f>
        <v>11339384.701629139</v>
      </c>
      <c r="AP14" s="456">
        <f>+AN14*181</f>
        <v>174456431.88999999</v>
      </c>
      <c r="AQ14" s="456">
        <v>5466980</v>
      </c>
      <c r="AR14" s="525">
        <f t="shared" si="14"/>
        <v>5.8279171278452481E-2</v>
      </c>
      <c r="AS14" s="458"/>
      <c r="AW14" s="460"/>
      <c r="AY14" s="458"/>
    </row>
    <row r="15" spans="1:51" ht="14">
      <c r="A15" s="402" t="s">
        <v>662</v>
      </c>
      <c r="B15" s="404">
        <v>7000200</v>
      </c>
      <c r="C15" s="404">
        <v>47</v>
      </c>
      <c r="D15" s="405" t="s">
        <v>230</v>
      </c>
      <c r="E15" s="405" t="s">
        <v>230</v>
      </c>
      <c r="F15" s="501">
        <v>1911.22</v>
      </c>
      <c r="G15" s="502">
        <v>1918.45</v>
      </c>
      <c r="H15" s="502">
        <v>1868.3</v>
      </c>
      <c r="I15" s="502">
        <v>2113.61</v>
      </c>
      <c r="J15" s="502">
        <v>2011.53</v>
      </c>
      <c r="K15" s="502">
        <v>1812.88</v>
      </c>
      <c r="L15" s="502">
        <v>2018.92</v>
      </c>
      <c r="M15" s="504">
        <v>1990.1</v>
      </c>
      <c r="N15" s="491">
        <v>2067.62</v>
      </c>
      <c r="O15" s="524">
        <v>2062.1</v>
      </c>
      <c r="P15" s="524">
        <v>1992.4</v>
      </c>
      <c r="Q15" s="480">
        <v>2079.1</v>
      </c>
      <c r="R15" s="412">
        <f t="shared" si="4"/>
        <v>23846.23</v>
      </c>
      <c r="S15" s="456">
        <f t="shared" si="5"/>
        <v>3974.3716666666664</v>
      </c>
      <c r="U15" s="9">
        <f t="shared" si="2"/>
        <v>0</v>
      </c>
      <c r="V15" s="9">
        <f t="shared" si="6"/>
        <v>0</v>
      </c>
      <c r="W15" s="9">
        <f t="shared" si="6"/>
        <v>23846.23</v>
      </c>
      <c r="X15" s="9">
        <f t="shared" si="6"/>
        <v>0</v>
      </c>
      <c r="Y15" s="9">
        <f t="shared" si="6"/>
        <v>0</v>
      </c>
      <c r="Z15" s="9">
        <f t="shared" si="6"/>
        <v>0</v>
      </c>
      <c r="AA15" s="9">
        <f t="shared" si="6"/>
        <v>0</v>
      </c>
      <c r="AB15" s="9">
        <f t="shared" si="6"/>
        <v>0</v>
      </c>
      <c r="AC15" s="9">
        <f t="shared" si="6"/>
        <v>0</v>
      </c>
      <c r="AD15" s="9">
        <f t="shared" si="6"/>
        <v>0</v>
      </c>
      <c r="AE15" s="9">
        <f t="shared" si="6"/>
        <v>0</v>
      </c>
      <c r="AF15" s="9">
        <f t="shared" si="6"/>
        <v>0</v>
      </c>
      <c r="AG15" s="9">
        <f t="shared" si="6"/>
        <v>0</v>
      </c>
      <c r="AH15" s="9">
        <f t="shared" si="6"/>
        <v>0</v>
      </c>
      <c r="AI15" s="9">
        <f t="shared" si="6"/>
        <v>0</v>
      </c>
      <c r="AJ15" s="365">
        <f t="shared" si="7"/>
        <v>23846.23</v>
      </c>
      <c r="AK15" s="460">
        <f t="shared" si="8"/>
        <v>23799.23</v>
      </c>
      <c r="AM15" t="s">
        <v>964</v>
      </c>
      <c r="AN15" s="458">
        <f>+AF2</f>
        <v>1107869.7</v>
      </c>
      <c r="AO15" s="456">
        <f>+AN15*11.764706</f>
        <v>13033761.3068082</v>
      </c>
      <c r="AP15" s="456">
        <f t="shared" si="13"/>
        <v>200524415.69999999</v>
      </c>
      <c r="AQ15" s="456">
        <v>8008914</v>
      </c>
      <c r="AR15" s="525">
        <f t="shared" si="14"/>
        <v>8.5376729155840325E-2</v>
      </c>
      <c r="AS15" s="458">
        <f>+'2020'!AM118</f>
        <v>191224.18</v>
      </c>
      <c r="AT15" s="456">
        <f t="shared" si="10"/>
        <v>2249696.25779108</v>
      </c>
      <c r="AU15" s="456">
        <f t="shared" si="11"/>
        <v>191224.18191224182</v>
      </c>
      <c r="AW15" s="460">
        <f t="shared" si="12"/>
        <v>15283457.564599279</v>
      </c>
      <c r="AY15" s="458">
        <f t="shared" si="15"/>
        <v>1299093.8799999999</v>
      </c>
    </row>
    <row r="16" spans="1:51" ht="14">
      <c r="A16" s="402" t="s">
        <v>535</v>
      </c>
      <c r="B16" s="404">
        <v>15051607</v>
      </c>
      <c r="C16" s="404">
        <v>291</v>
      </c>
      <c r="D16" s="405" t="s">
        <v>640</v>
      </c>
      <c r="E16" s="405" t="s">
        <v>641</v>
      </c>
      <c r="F16" s="486">
        <v>30207.24</v>
      </c>
      <c r="G16" s="488">
        <v>34004.730000000003</v>
      </c>
      <c r="H16" s="491">
        <v>37502.839999999997</v>
      </c>
      <c r="I16" s="493">
        <v>43013.15</v>
      </c>
      <c r="J16" s="502">
        <v>27119.93</v>
      </c>
      <c r="K16" s="504">
        <v>14586.06</v>
      </c>
      <c r="L16" s="491">
        <v>12857.28</v>
      </c>
      <c r="M16" s="519">
        <v>14371.35</v>
      </c>
      <c r="N16" s="522">
        <v>23244.67</v>
      </c>
      <c r="O16" s="524">
        <v>40065.22</v>
      </c>
      <c r="P16" s="524">
        <v>29646.78</v>
      </c>
      <c r="Q16" s="529">
        <v>37418.92</v>
      </c>
      <c r="R16" s="412">
        <f t="shared" si="4"/>
        <v>344038.17</v>
      </c>
      <c r="S16" s="456">
        <f t="shared" si="5"/>
        <v>57339.695</v>
      </c>
      <c r="U16" s="9">
        <f t="shared" si="2"/>
        <v>0</v>
      </c>
      <c r="V16" s="9">
        <f t="shared" si="6"/>
        <v>0</v>
      </c>
      <c r="W16" s="9">
        <f t="shared" si="6"/>
        <v>0</v>
      </c>
      <c r="X16" s="9">
        <f t="shared" si="6"/>
        <v>0</v>
      </c>
      <c r="Y16" s="9">
        <f t="shared" si="6"/>
        <v>0</v>
      </c>
      <c r="Z16" s="9">
        <f t="shared" si="6"/>
        <v>0</v>
      </c>
      <c r="AA16" s="9">
        <f t="shared" si="6"/>
        <v>0</v>
      </c>
      <c r="AB16" s="9">
        <f t="shared" si="6"/>
        <v>344038.17</v>
      </c>
      <c r="AC16" s="9">
        <f t="shared" si="6"/>
        <v>0</v>
      </c>
      <c r="AD16" s="9">
        <f t="shared" si="6"/>
        <v>0</v>
      </c>
      <c r="AE16" s="9">
        <f t="shared" si="6"/>
        <v>0</v>
      </c>
      <c r="AF16" s="9">
        <f t="shared" si="6"/>
        <v>0</v>
      </c>
      <c r="AG16" s="9">
        <f t="shared" si="6"/>
        <v>0</v>
      </c>
      <c r="AH16" s="9">
        <f t="shared" si="6"/>
        <v>0</v>
      </c>
      <c r="AI16" s="9">
        <f t="shared" si="6"/>
        <v>0</v>
      </c>
      <c r="AJ16" s="365">
        <f t="shared" si="7"/>
        <v>344038.17</v>
      </c>
      <c r="AK16" s="460">
        <f t="shared" si="8"/>
        <v>343747.17</v>
      </c>
      <c r="AM16" t="s">
        <v>664</v>
      </c>
      <c r="AN16" s="458">
        <f>+AG2</f>
        <v>1292575.67</v>
      </c>
      <c r="AO16" s="456">
        <f>+AN16*11.764706</f>
        <v>15206772.740303019</v>
      </c>
      <c r="AP16" s="456">
        <f t="shared" si="13"/>
        <v>233956196.26999998</v>
      </c>
      <c r="AQ16" s="456">
        <v>5581567</v>
      </c>
      <c r="AR16" s="525">
        <f t="shared" si="14"/>
        <v>5.9500693105728975E-2</v>
      </c>
      <c r="AS16" s="458">
        <f>+'2020'!AO118</f>
        <v>363793.70999999996</v>
      </c>
      <c r="AT16" s="456">
        <f t="shared" si="10"/>
        <v>4279926.0427992595</v>
      </c>
      <c r="AU16" s="456">
        <f t="shared" si="11"/>
        <v>363793.71363793709</v>
      </c>
      <c r="AW16" s="460">
        <f t="shared" si="12"/>
        <v>19486698.783102278</v>
      </c>
      <c r="AY16" s="458">
        <f t="shared" si="15"/>
        <v>1656369.38</v>
      </c>
    </row>
    <row r="17" spans="1:51" ht="14">
      <c r="A17" s="402" t="s">
        <v>533</v>
      </c>
      <c r="B17" s="403">
        <v>15058371</v>
      </c>
      <c r="C17" s="403">
        <v>59</v>
      </c>
      <c r="D17" s="402" t="s">
        <v>830</v>
      </c>
      <c r="E17" s="402" t="s">
        <v>231</v>
      </c>
      <c r="F17" s="483">
        <v>6220.35</v>
      </c>
      <c r="G17" s="488">
        <v>6219.37</v>
      </c>
      <c r="H17" s="491">
        <v>5282.59</v>
      </c>
      <c r="I17" s="493">
        <v>9594.91</v>
      </c>
      <c r="J17" s="495">
        <v>3509.12</v>
      </c>
      <c r="K17" s="499">
        <v>2526.4899999999998</v>
      </c>
      <c r="L17" s="502">
        <v>2003.35</v>
      </c>
      <c r="M17" s="504">
        <v>2331.0500000000002</v>
      </c>
      <c r="N17" s="491">
        <v>2211.44</v>
      </c>
      <c r="O17" s="491">
        <v>7906.62</v>
      </c>
      <c r="P17" s="491">
        <v>6475.68</v>
      </c>
      <c r="Q17" s="534">
        <v>6876.1</v>
      </c>
      <c r="R17" s="412">
        <f t="shared" si="4"/>
        <v>61157.070000000007</v>
      </c>
      <c r="S17" s="456">
        <f t="shared" si="5"/>
        <v>10192.845000000001</v>
      </c>
      <c r="U17" s="9">
        <f t="shared" si="2"/>
        <v>0</v>
      </c>
      <c r="V17" s="9">
        <f t="shared" si="6"/>
        <v>0</v>
      </c>
      <c r="W17" s="9">
        <f t="shared" si="6"/>
        <v>0</v>
      </c>
      <c r="X17" s="9">
        <f t="shared" si="6"/>
        <v>0</v>
      </c>
      <c r="Y17" s="9">
        <f t="shared" si="6"/>
        <v>0</v>
      </c>
      <c r="Z17" s="9">
        <f t="shared" si="6"/>
        <v>0</v>
      </c>
      <c r="AA17" s="9">
        <f t="shared" si="6"/>
        <v>0</v>
      </c>
      <c r="AB17" s="9">
        <f t="shared" si="6"/>
        <v>0</v>
      </c>
      <c r="AC17" s="9">
        <f t="shared" si="6"/>
        <v>0</v>
      </c>
      <c r="AD17" s="9">
        <f t="shared" si="6"/>
        <v>61157.070000000007</v>
      </c>
      <c r="AE17" s="9">
        <f t="shared" si="6"/>
        <v>0</v>
      </c>
      <c r="AF17" s="9">
        <f t="shared" si="6"/>
        <v>0</v>
      </c>
      <c r="AG17" s="9">
        <f t="shared" si="6"/>
        <v>0</v>
      </c>
      <c r="AH17" s="9">
        <f t="shared" si="6"/>
        <v>0</v>
      </c>
      <c r="AI17" s="9">
        <f t="shared" si="6"/>
        <v>0</v>
      </c>
      <c r="AJ17" s="365">
        <f t="shared" si="7"/>
        <v>61157.070000000007</v>
      </c>
      <c r="AK17" s="460">
        <f t="shared" si="8"/>
        <v>61098.070000000007</v>
      </c>
      <c r="AM17" t="s">
        <v>1000</v>
      </c>
      <c r="AN17" s="458">
        <f>+AH2</f>
        <v>1411488.73</v>
      </c>
      <c r="AO17" s="456">
        <f t="shared" si="9"/>
        <v>16605749.930763381</v>
      </c>
      <c r="AQ17" s="456">
        <v>0</v>
      </c>
      <c r="AR17" s="525">
        <f t="shared" si="14"/>
        <v>0</v>
      </c>
      <c r="AS17" s="458">
        <f>+'2020'!AP118</f>
        <v>229546.37</v>
      </c>
      <c r="AT17" s="456">
        <f t="shared" si="10"/>
        <v>2700545.5564172198</v>
      </c>
      <c r="AU17" s="456">
        <f t="shared" si="11"/>
        <v>229546.37229546369</v>
      </c>
      <c r="AW17" s="460">
        <f t="shared" si="12"/>
        <v>19306295.487180602</v>
      </c>
      <c r="AY17" s="458">
        <f t="shared" si="15"/>
        <v>1641035.1</v>
      </c>
    </row>
    <row r="18" spans="1:51" ht="14">
      <c r="A18" s="402" t="s">
        <v>659</v>
      </c>
      <c r="B18" s="403">
        <v>15031812</v>
      </c>
      <c r="C18" s="403">
        <v>105</v>
      </c>
      <c r="D18" s="402" t="s">
        <v>707</v>
      </c>
      <c r="E18" s="402" t="s">
        <v>688</v>
      </c>
      <c r="F18" s="483">
        <v>17189.78</v>
      </c>
      <c r="G18" s="488">
        <v>14449.77</v>
      </c>
      <c r="H18" s="491">
        <v>14767.38</v>
      </c>
      <c r="I18" s="493">
        <v>19156.36</v>
      </c>
      <c r="J18" s="499">
        <v>12485.06</v>
      </c>
      <c r="K18" s="499">
        <v>8791.2000000000007</v>
      </c>
      <c r="L18" s="502">
        <v>8207.2099999999991</v>
      </c>
      <c r="M18" s="504">
        <v>7086.02</v>
      </c>
      <c r="N18" s="471">
        <v>13197.25</v>
      </c>
      <c r="O18" s="519">
        <v>17754.59</v>
      </c>
      <c r="P18" s="522">
        <v>15197.37</v>
      </c>
      <c r="Q18" s="480">
        <v>15496.17</v>
      </c>
      <c r="R18" s="412">
        <f t="shared" si="4"/>
        <v>163778.16000000003</v>
      </c>
      <c r="S18" s="456">
        <f t="shared" si="5"/>
        <v>27296.360000000004</v>
      </c>
      <c r="U18" s="9">
        <f t="shared" si="2"/>
        <v>0</v>
      </c>
      <c r="V18" s="9">
        <f t="shared" ref="V18:AD18" si="16">+IF($A18=V$3,$R18,0)</f>
        <v>0</v>
      </c>
      <c r="W18" s="9">
        <f t="shared" si="16"/>
        <v>0</v>
      </c>
      <c r="X18" s="9">
        <f t="shared" si="16"/>
        <v>0</v>
      </c>
      <c r="Y18" s="9">
        <f t="shared" si="16"/>
        <v>0</v>
      </c>
      <c r="Z18" s="9">
        <f t="shared" si="16"/>
        <v>0</v>
      </c>
      <c r="AA18" s="9">
        <f t="shared" si="16"/>
        <v>0</v>
      </c>
      <c r="AB18" s="9">
        <f t="shared" si="16"/>
        <v>0</v>
      </c>
      <c r="AC18" s="9">
        <f t="shared" si="16"/>
        <v>0</v>
      </c>
      <c r="AD18" s="9">
        <f t="shared" si="16"/>
        <v>0</v>
      </c>
      <c r="AE18" s="9">
        <f t="shared" ref="V18:AI33" si="17">+IF($A18=AE$3,$R18,0)</f>
        <v>0</v>
      </c>
      <c r="AF18" s="9">
        <f t="shared" si="17"/>
        <v>163778.16000000003</v>
      </c>
      <c r="AG18" s="9">
        <f t="shared" si="17"/>
        <v>0</v>
      </c>
      <c r="AH18" s="9">
        <f t="shared" si="17"/>
        <v>0</v>
      </c>
      <c r="AI18" s="9">
        <f t="shared" si="17"/>
        <v>0</v>
      </c>
      <c r="AJ18" s="365">
        <f t="shared" si="7"/>
        <v>163778.16000000003</v>
      </c>
      <c r="AK18" s="460">
        <f t="shared" si="8"/>
        <v>163673.16000000003</v>
      </c>
      <c r="AM18" t="s">
        <v>705</v>
      </c>
      <c r="AN18" s="458">
        <f>+AI2</f>
        <v>655050.52</v>
      </c>
      <c r="AO18" s="456">
        <f t="shared" si="9"/>
        <v>7706476.7829471203</v>
      </c>
      <c r="AQ18" s="456">
        <v>0</v>
      </c>
      <c r="AR18" s="525">
        <f t="shared" si="14"/>
        <v>0</v>
      </c>
      <c r="AS18" s="458">
        <f>+'2020'!AS118</f>
        <v>285350.99</v>
      </c>
      <c r="AT18" s="456">
        <f t="shared" si="10"/>
        <v>3357070.5041589402</v>
      </c>
      <c r="AU18" s="456">
        <f t="shared" si="11"/>
        <v>285350.99285350996</v>
      </c>
      <c r="AW18" s="460">
        <f t="shared" si="12"/>
        <v>11063547.287106059</v>
      </c>
      <c r="AY18" s="458">
        <f t="shared" si="15"/>
        <v>940401.51</v>
      </c>
    </row>
    <row r="19" spans="1:51" ht="14">
      <c r="A19" s="402" t="s">
        <v>537</v>
      </c>
      <c r="B19" s="403">
        <v>15074218</v>
      </c>
      <c r="C19" s="403">
        <v>72</v>
      </c>
      <c r="D19" s="402"/>
      <c r="E19" s="402" t="s">
        <v>976</v>
      </c>
      <c r="F19" s="483">
        <v>14603.39</v>
      </c>
      <c r="G19" s="488">
        <v>15013.7</v>
      </c>
      <c r="H19" s="491">
        <v>13380.94</v>
      </c>
      <c r="I19" s="493">
        <v>3590.15</v>
      </c>
      <c r="J19" s="495">
        <v>13100.03</v>
      </c>
      <c r="K19" s="499">
        <f>10457.13+11990.87</f>
        <v>22448</v>
      </c>
      <c r="L19" s="502">
        <v>10583.27</v>
      </c>
      <c r="M19" s="504">
        <v>10040.52</v>
      </c>
      <c r="N19" s="491">
        <v>14007.86</v>
      </c>
      <c r="O19" s="519">
        <v>18884.990000000002</v>
      </c>
      <c r="P19" s="522">
        <v>15551.21</v>
      </c>
      <c r="Q19" s="480">
        <v>16123.91</v>
      </c>
      <c r="R19" s="412">
        <f t="shared" si="4"/>
        <v>167327.97</v>
      </c>
      <c r="S19" s="456">
        <f t="shared" si="5"/>
        <v>27887.994999999999</v>
      </c>
      <c r="U19" s="9">
        <f t="shared" si="2"/>
        <v>0</v>
      </c>
      <c r="V19" s="9">
        <f t="shared" si="17"/>
        <v>167327.97</v>
      </c>
      <c r="W19" s="9">
        <f t="shared" si="17"/>
        <v>0</v>
      </c>
      <c r="X19" s="9">
        <f t="shared" si="17"/>
        <v>0</v>
      </c>
      <c r="Y19" s="9">
        <f t="shared" si="17"/>
        <v>0</v>
      </c>
      <c r="Z19" s="9">
        <f t="shared" si="17"/>
        <v>0</v>
      </c>
      <c r="AA19" s="9">
        <f t="shared" si="17"/>
        <v>0</v>
      </c>
      <c r="AB19" s="9">
        <f t="shared" si="17"/>
        <v>0</v>
      </c>
      <c r="AC19" s="9">
        <f t="shared" si="17"/>
        <v>0</v>
      </c>
      <c r="AD19" s="9">
        <f t="shared" si="17"/>
        <v>0</v>
      </c>
      <c r="AE19" s="9">
        <f t="shared" si="17"/>
        <v>0</v>
      </c>
      <c r="AF19" s="9">
        <f t="shared" si="17"/>
        <v>0</v>
      </c>
      <c r="AG19" s="9">
        <f t="shared" si="17"/>
        <v>0</v>
      </c>
      <c r="AH19" s="9">
        <f t="shared" si="17"/>
        <v>0</v>
      </c>
      <c r="AI19" s="9">
        <f t="shared" si="17"/>
        <v>0</v>
      </c>
      <c r="AJ19" s="365">
        <f t="shared" si="7"/>
        <v>167327.97</v>
      </c>
      <c r="AK19" s="460">
        <f t="shared" si="8"/>
        <v>167255.97</v>
      </c>
      <c r="AM19" t="s">
        <v>965</v>
      </c>
      <c r="AN19" s="458">
        <f t="shared" ref="AN19:AU19" si="18">+SUM(AN6:AN18)</f>
        <v>18294858.059999999</v>
      </c>
      <c r="AO19" s="458">
        <f t="shared" si="18"/>
        <v>215233626.38763037</v>
      </c>
      <c r="AP19" s="458">
        <f t="shared" si="18"/>
        <v>2937325704.6100001</v>
      </c>
      <c r="AQ19" s="458">
        <f t="shared" si="18"/>
        <v>93806756</v>
      </c>
      <c r="AR19" s="525">
        <f t="shared" si="18"/>
        <v>1</v>
      </c>
      <c r="AS19" s="458">
        <f t="shared" si="18"/>
        <v>3490503.6900000004</v>
      </c>
      <c r="AT19" s="458">
        <f t="shared" si="18"/>
        <v>41064749.704765141</v>
      </c>
      <c r="AU19" s="458">
        <f t="shared" si="18"/>
        <v>3490503.7249050373</v>
      </c>
      <c r="AW19" s="458">
        <f>+SUM(AW6:AW18)</f>
        <v>244958991.39076635</v>
      </c>
      <c r="AY19" s="458">
        <f>+SUM(AY7:AY18)</f>
        <v>20821514.060000002</v>
      </c>
    </row>
    <row r="20" spans="1:51" ht="14">
      <c r="A20" s="402" t="s">
        <v>659</v>
      </c>
      <c r="B20" s="403">
        <v>15065882</v>
      </c>
      <c r="C20" s="403">
        <v>53</v>
      </c>
      <c r="D20" s="402" t="s">
        <v>234</v>
      </c>
      <c r="E20" s="402" t="s">
        <v>234</v>
      </c>
      <c r="F20" s="483">
        <v>11434.71</v>
      </c>
      <c r="G20" s="488">
        <v>10203.26</v>
      </c>
      <c r="H20" s="491">
        <v>9583.4599999999991</v>
      </c>
      <c r="I20" s="493">
        <v>12263.22</v>
      </c>
      <c r="J20" s="495">
        <v>7766.09</v>
      </c>
      <c r="K20" s="499">
        <v>5999.39</v>
      </c>
      <c r="L20" s="502">
        <v>3446.99</v>
      </c>
      <c r="M20" s="504">
        <v>4344.7700000000004</v>
      </c>
      <c r="N20" s="491">
        <v>8035.59</v>
      </c>
      <c r="O20" s="519">
        <v>12590.11</v>
      </c>
      <c r="P20" s="522">
        <v>10319.49</v>
      </c>
      <c r="Q20" s="480">
        <v>11406.96</v>
      </c>
      <c r="R20" s="412">
        <f t="shared" si="4"/>
        <v>107394.04000000001</v>
      </c>
      <c r="S20" s="456">
        <f t="shared" si="5"/>
        <v>17899.006666666668</v>
      </c>
      <c r="U20" s="9">
        <f t="shared" si="2"/>
        <v>0</v>
      </c>
      <c r="V20" s="9">
        <f t="shared" si="17"/>
        <v>0</v>
      </c>
      <c r="W20" s="9">
        <f t="shared" si="17"/>
        <v>0</v>
      </c>
      <c r="X20" s="9">
        <f t="shared" si="17"/>
        <v>0</v>
      </c>
      <c r="Y20" s="9">
        <f t="shared" si="17"/>
        <v>0</v>
      </c>
      <c r="Z20" s="9">
        <f t="shared" si="17"/>
        <v>0</v>
      </c>
      <c r="AA20" s="9">
        <f t="shared" si="17"/>
        <v>0</v>
      </c>
      <c r="AB20" s="9">
        <f t="shared" si="17"/>
        <v>0</v>
      </c>
      <c r="AC20" s="9">
        <f t="shared" si="17"/>
        <v>0</v>
      </c>
      <c r="AD20" s="9">
        <f t="shared" si="17"/>
        <v>0</v>
      </c>
      <c r="AE20" s="9">
        <f t="shared" si="17"/>
        <v>0</v>
      </c>
      <c r="AF20" s="9">
        <f t="shared" si="17"/>
        <v>107394.04000000001</v>
      </c>
      <c r="AG20" s="9">
        <f t="shared" si="17"/>
        <v>0</v>
      </c>
      <c r="AH20" s="9">
        <f t="shared" si="17"/>
        <v>0</v>
      </c>
      <c r="AI20" s="9">
        <f t="shared" si="17"/>
        <v>0</v>
      </c>
      <c r="AJ20" s="365">
        <f t="shared" si="7"/>
        <v>107394.04000000001</v>
      </c>
      <c r="AK20" s="460">
        <f t="shared" si="8"/>
        <v>107341.04000000001</v>
      </c>
      <c r="AN20" s="458"/>
      <c r="AS20" s="458"/>
      <c r="AW20" s="456"/>
    </row>
    <row r="21" spans="1:51" ht="14">
      <c r="A21" s="402" t="s">
        <v>530</v>
      </c>
      <c r="B21" s="403">
        <v>15066432</v>
      </c>
      <c r="C21" s="403">
        <v>90</v>
      </c>
      <c r="D21" s="402"/>
      <c r="E21" s="402" t="s">
        <v>922</v>
      </c>
      <c r="F21" s="483">
        <v>21190.83</v>
      </c>
      <c r="G21" s="488">
        <v>20495.38</v>
      </c>
      <c r="H21" s="491">
        <v>21172.78</v>
      </c>
      <c r="I21" s="493">
        <v>26554.39</v>
      </c>
      <c r="J21" s="499">
        <v>21175.26</v>
      </c>
      <c r="K21" s="499">
        <v>17418.16</v>
      </c>
      <c r="L21" s="502">
        <v>12520.53</v>
      </c>
      <c r="M21" s="504">
        <v>16324.97</v>
      </c>
      <c r="N21" s="519">
        <v>22749.1</v>
      </c>
      <c r="O21" s="519">
        <v>26605.69</v>
      </c>
      <c r="P21" s="522">
        <v>24700.22</v>
      </c>
      <c r="Q21" s="480">
        <v>24517.74</v>
      </c>
      <c r="R21" s="412">
        <f t="shared" si="4"/>
        <v>255425.05000000002</v>
      </c>
      <c r="S21" s="456">
        <f t="shared" si="5"/>
        <v>42570.841666666667</v>
      </c>
      <c r="U21" s="9">
        <f t="shared" si="2"/>
        <v>0</v>
      </c>
      <c r="V21" s="9">
        <f t="shared" si="17"/>
        <v>0</v>
      </c>
      <c r="W21" s="9">
        <f t="shared" si="17"/>
        <v>0</v>
      </c>
      <c r="X21" s="9">
        <f t="shared" si="17"/>
        <v>0</v>
      </c>
      <c r="Y21" s="9">
        <f t="shared" si="17"/>
        <v>0</v>
      </c>
      <c r="Z21" s="9">
        <f t="shared" si="17"/>
        <v>255425.05000000002</v>
      </c>
      <c r="AA21" s="9">
        <f t="shared" si="17"/>
        <v>0</v>
      </c>
      <c r="AB21" s="9">
        <f t="shared" si="17"/>
        <v>0</v>
      </c>
      <c r="AC21" s="9">
        <f t="shared" si="17"/>
        <v>0</v>
      </c>
      <c r="AD21" s="9">
        <f t="shared" si="17"/>
        <v>0</v>
      </c>
      <c r="AE21" s="9">
        <f t="shared" si="17"/>
        <v>0</v>
      </c>
      <c r="AF21" s="9">
        <f t="shared" si="17"/>
        <v>0</v>
      </c>
      <c r="AG21" s="9">
        <f t="shared" si="17"/>
        <v>0</v>
      </c>
      <c r="AH21" s="9">
        <f t="shared" si="17"/>
        <v>0</v>
      </c>
      <c r="AI21" s="9">
        <f t="shared" si="17"/>
        <v>0</v>
      </c>
      <c r="AJ21" s="365">
        <f t="shared" si="7"/>
        <v>255425.05000000002</v>
      </c>
      <c r="AK21" s="460">
        <f t="shared" si="8"/>
        <v>255335.05000000002</v>
      </c>
      <c r="AN21" s="458">
        <f>+AN19-AJ2</f>
        <v>0</v>
      </c>
      <c r="AR21" s="525">
        <f>+AR9+AR11+AR12+AR14+AR15</f>
        <v>0.51347780324052561</v>
      </c>
      <c r="AS21" s="460"/>
      <c r="AW21" s="456"/>
      <c r="AY21" s="458"/>
    </row>
    <row r="22" spans="1:51" ht="14">
      <c r="A22" s="402" t="s">
        <v>535</v>
      </c>
      <c r="B22" s="403">
        <v>15059166</v>
      </c>
      <c r="C22" s="403">
        <v>146</v>
      </c>
      <c r="D22" s="402" t="s">
        <v>851</v>
      </c>
      <c r="E22" s="402" t="s">
        <v>852</v>
      </c>
      <c r="F22" s="483">
        <v>29324.31</v>
      </c>
      <c r="G22" s="488">
        <v>31189.82</v>
      </c>
      <c r="H22" s="491">
        <v>26636.92</v>
      </c>
      <c r="I22" s="493">
        <v>36195.54</v>
      </c>
      <c r="J22" s="495">
        <v>22460.45</v>
      </c>
      <c r="K22" s="499">
        <v>15847.18</v>
      </c>
      <c r="L22" s="502">
        <v>13673.9</v>
      </c>
      <c r="M22" s="504">
        <v>16707.38</v>
      </c>
      <c r="N22" s="491">
        <v>26684.35</v>
      </c>
      <c r="O22" s="519">
        <f>21134.58+15173.55</f>
        <v>36308.130000000005</v>
      </c>
      <c r="P22" s="522">
        <v>28528.9</v>
      </c>
      <c r="Q22" s="480">
        <v>30791.1</v>
      </c>
      <c r="R22" s="412">
        <f t="shared" si="4"/>
        <v>314347.98</v>
      </c>
      <c r="S22" s="456">
        <f t="shared" si="5"/>
        <v>52391.329999999994</v>
      </c>
      <c r="U22" s="9">
        <f t="shared" si="2"/>
        <v>0</v>
      </c>
      <c r="V22" s="9">
        <f t="shared" si="17"/>
        <v>0</v>
      </c>
      <c r="W22" s="9">
        <f t="shared" si="17"/>
        <v>0</v>
      </c>
      <c r="X22" s="9">
        <f t="shared" si="17"/>
        <v>0</v>
      </c>
      <c r="Y22" s="9">
        <f t="shared" si="17"/>
        <v>0</v>
      </c>
      <c r="Z22" s="9">
        <f t="shared" si="17"/>
        <v>0</v>
      </c>
      <c r="AA22" s="9">
        <f t="shared" si="17"/>
        <v>0</v>
      </c>
      <c r="AB22" s="9">
        <f t="shared" si="17"/>
        <v>314347.98</v>
      </c>
      <c r="AC22" s="9">
        <f t="shared" si="17"/>
        <v>0</v>
      </c>
      <c r="AD22" s="9">
        <f t="shared" si="17"/>
        <v>0</v>
      </c>
      <c r="AE22" s="9">
        <f t="shared" si="17"/>
        <v>0</v>
      </c>
      <c r="AF22" s="9">
        <f t="shared" si="17"/>
        <v>0</v>
      </c>
      <c r="AG22" s="9">
        <f t="shared" si="17"/>
        <v>0</v>
      </c>
      <c r="AH22" s="9">
        <f t="shared" si="17"/>
        <v>0</v>
      </c>
      <c r="AI22" s="9">
        <f t="shared" si="17"/>
        <v>0</v>
      </c>
      <c r="AJ22" s="365">
        <f t="shared" si="7"/>
        <v>314347.98</v>
      </c>
      <c r="AK22" s="460">
        <f t="shared" si="8"/>
        <v>314201.98</v>
      </c>
      <c r="AS22" s="456"/>
      <c r="AW22" s="456"/>
    </row>
    <row r="23" spans="1:51" ht="14">
      <c r="A23" s="402" t="s">
        <v>537</v>
      </c>
      <c r="B23" s="403">
        <v>15036832</v>
      </c>
      <c r="C23" s="403">
        <v>103</v>
      </c>
      <c r="D23" s="402" t="s">
        <v>504</v>
      </c>
      <c r="E23" s="402" t="s">
        <v>504</v>
      </c>
      <c r="F23" s="483">
        <v>25511.16</v>
      </c>
      <c r="G23" s="488">
        <v>18118.36</v>
      </c>
      <c r="H23" s="491">
        <v>21989.33</v>
      </c>
      <c r="I23" s="493">
        <v>31198.78</v>
      </c>
      <c r="J23" s="495">
        <v>19313.93</v>
      </c>
      <c r="K23" s="499">
        <v>13109.74</v>
      </c>
      <c r="L23" s="502">
        <v>13971.94</v>
      </c>
      <c r="M23" s="504">
        <v>13237.32</v>
      </c>
      <c r="N23" s="491">
        <v>22766.94</v>
      </c>
      <c r="O23" s="519">
        <v>31362.3</v>
      </c>
      <c r="P23" s="522">
        <v>28050.95</v>
      </c>
      <c r="Q23" s="480">
        <v>24357.61</v>
      </c>
      <c r="R23" s="412">
        <f t="shared" si="4"/>
        <v>262988.36</v>
      </c>
      <c r="S23" s="456">
        <f t="shared" si="5"/>
        <v>43831.393333333333</v>
      </c>
      <c r="U23" s="9">
        <f t="shared" si="2"/>
        <v>0</v>
      </c>
      <c r="V23" s="9">
        <f t="shared" si="17"/>
        <v>262988.36</v>
      </c>
      <c r="W23" s="9">
        <f t="shared" si="17"/>
        <v>0</v>
      </c>
      <c r="X23" s="9">
        <f t="shared" si="17"/>
        <v>0</v>
      </c>
      <c r="Y23" s="9">
        <f t="shared" si="17"/>
        <v>0</v>
      </c>
      <c r="Z23" s="9">
        <f t="shared" si="17"/>
        <v>0</v>
      </c>
      <c r="AA23" s="9">
        <f t="shared" si="17"/>
        <v>0</v>
      </c>
      <c r="AB23" s="9">
        <f t="shared" si="17"/>
        <v>0</v>
      </c>
      <c r="AC23" s="9">
        <f t="shared" si="17"/>
        <v>0</v>
      </c>
      <c r="AD23" s="9">
        <f t="shared" si="17"/>
        <v>0</v>
      </c>
      <c r="AE23" s="9">
        <f t="shared" si="17"/>
        <v>0</v>
      </c>
      <c r="AF23" s="9">
        <f t="shared" si="17"/>
        <v>0</v>
      </c>
      <c r="AG23" s="9">
        <f t="shared" si="17"/>
        <v>0</v>
      </c>
      <c r="AH23" s="9">
        <f t="shared" si="17"/>
        <v>0</v>
      </c>
      <c r="AI23" s="9">
        <f t="shared" si="17"/>
        <v>0</v>
      </c>
      <c r="AJ23" s="365">
        <f t="shared" si="7"/>
        <v>262988.36</v>
      </c>
      <c r="AK23" s="460">
        <f t="shared" si="8"/>
        <v>262885.36</v>
      </c>
    </row>
    <row r="24" spans="1:51" ht="14">
      <c r="A24" s="402" t="s">
        <v>533</v>
      </c>
      <c r="B24" s="403">
        <v>15007853</v>
      </c>
      <c r="C24" s="403">
        <v>55</v>
      </c>
      <c r="D24" s="402" t="s">
        <v>632</v>
      </c>
      <c r="E24" s="402" t="s">
        <v>238</v>
      </c>
      <c r="F24" s="483">
        <v>6659.65</v>
      </c>
      <c r="G24" s="488">
        <v>6501.11</v>
      </c>
      <c r="H24" s="491">
        <v>5490.17</v>
      </c>
      <c r="I24" s="495">
        <v>7052.05</v>
      </c>
      <c r="J24" s="499">
        <v>3784</v>
      </c>
      <c r="K24" s="499">
        <v>3128.13</v>
      </c>
      <c r="L24" s="502">
        <v>3096.58</v>
      </c>
      <c r="M24" s="504">
        <v>2190.15</v>
      </c>
      <c r="N24" s="491">
        <v>5097.8</v>
      </c>
      <c r="O24" s="519">
        <v>6964.77</v>
      </c>
      <c r="P24" s="522">
        <v>5858.5</v>
      </c>
      <c r="Q24" s="480">
        <v>5848.34</v>
      </c>
      <c r="R24" s="412">
        <f t="shared" si="4"/>
        <v>61671.25</v>
      </c>
      <c r="S24" s="456">
        <f t="shared" si="5"/>
        <v>10278.541666666666</v>
      </c>
      <c r="U24" s="9">
        <f t="shared" si="2"/>
        <v>0</v>
      </c>
      <c r="V24" s="9">
        <f t="shared" si="17"/>
        <v>0</v>
      </c>
      <c r="W24" s="9">
        <f t="shared" si="17"/>
        <v>0</v>
      </c>
      <c r="X24" s="9">
        <f t="shared" si="17"/>
        <v>0</v>
      </c>
      <c r="Y24" s="9">
        <f t="shared" si="17"/>
        <v>0</v>
      </c>
      <c r="Z24" s="9">
        <f t="shared" si="17"/>
        <v>0</v>
      </c>
      <c r="AA24" s="9">
        <f t="shared" si="17"/>
        <v>0</v>
      </c>
      <c r="AB24" s="9">
        <f t="shared" si="17"/>
        <v>0</v>
      </c>
      <c r="AC24" s="9">
        <f t="shared" si="17"/>
        <v>0</v>
      </c>
      <c r="AD24" s="9">
        <f t="shared" si="17"/>
        <v>61671.25</v>
      </c>
      <c r="AE24" s="9">
        <f t="shared" si="17"/>
        <v>0</v>
      </c>
      <c r="AF24" s="9">
        <f t="shared" si="17"/>
        <v>0</v>
      </c>
      <c r="AG24" s="9">
        <f t="shared" si="17"/>
        <v>0</v>
      </c>
      <c r="AH24" s="9">
        <f t="shared" si="17"/>
        <v>0</v>
      </c>
      <c r="AI24" s="9">
        <f t="shared" si="17"/>
        <v>0</v>
      </c>
      <c r="AJ24" s="365">
        <f t="shared" si="7"/>
        <v>61671.25</v>
      </c>
      <c r="AK24" s="460">
        <f t="shared" si="8"/>
        <v>61616.25</v>
      </c>
      <c r="AN24">
        <v>2023</v>
      </c>
      <c r="AO24" s="456">
        <f>125+87+82</f>
        <v>294</v>
      </c>
      <c r="AP24" s="525">
        <f>+AO24/8980</f>
        <v>3.2739420935412024E-2</v>
      </c>
    </row>
    <row r="25" spans="1:51" ht="14">
      <c r="A25" s="402" t="s">
        <v>705</v>
      </c>
      <c r="B25" s="403">
        <v>7000700</v>
      </c>
      <c r="C25" s="403">
        <v>44</v>
      </c>
      <c r="D25" s="402" t="s">
        <v>239</v>
      </c>
      <c r="E25" s="402" t="s">
        <v>239</v>
      </c>
      <c r="F25" s="483">
        <v>973.68</v>
      </c>
      <c r="G25" s="488">
        <v>981.33</v>
      </c>
      <c r="H25" s="491">
        <v>1022.13</v>
      </c>
      <c r="I25" s="493">
        <v>1122</v>
      </c>
      <c r="J25" s="495">
        <v>926.93</v>
      </c>
      <c r="K25" s="499">
        <v>763.9</v>
      </c>
      <c r="L25" s="502">
        <v>871.25</v>
      </c>
      <c r="M25" s="504">
        <v>753.88</v>
      </c>
      <c r="N25" s="491">
        <v>869.04</v>
      </c>
      <c r="O25" s="519">
        <v>752.34</v>
      </c>
      <c r="P25" s="522">
        <v>768.06</v>
      </c>
      <c r="Q25" s="480">
        <v>876.78</v>
      </c>
      <c r="R25" s="412">
        <f t="shared" si="4"/>
        <v>10681.32</v>
      </c>
      <c r="S25" s="456">
        <f t="shared" si="5"/>
        <v>1780.22</v>
      </c>
      <c r="U25" s="9">
        <f t="shared" si="2"/>
        <v>0</v>
      </c>
      <c r="V25" s="9">
        <f t="shared" si="17"/>
        <v>0</v>
      </c>
      <c r="W25" s="9">
        <f t="shared" si="17"/>
        <v>0</v>
      </c>
      <c r="X25" s="9">
        <f t="shared" si="17"/>
        <v>0</v>
      </c>
      <c r="Y25" s="9">
        <f t="shared" si="17"/>
        <v>0</v>
      </c>
      <c r="Z25" s="9">
        <f t="shared" si="17"/>
        <v>0</v>
      </c>
      <c r="AA25" s="9">
        <f t="shared" si="17"/>
        <v>0</v>
      </c>
      <c r="AB25" s="9">
        <f t="shared" si="17"/>
        <v>0</v>
      </c>
      <c r="AC25" s="9">
        <f t="shared" si="17"/>
        <v>0</v>
      </c>
      <c r="AD25" s="9">
        <f t="shared" si="17"/>
        <v>0</v>
      </c>
      <c r="AE25" s="9">
        <f t="shared" si="17"/>
        <v>0</v>
      </c>
      <c r="AF25" s="9">
        <f t="shared" si="17"/>
        <v>0</v>
      </c>
      <c r="AG25" s="9">
        <f t="shared" si="17"/>
        <v>0</v>
      </c>
      <c r="AH25" s="9">
        <f t="shared" si="17"/>
        <v>0</v>
      </c>
      <c r="AI25" s="9">
        <f t="shared" si="17"/>
        <v>10681.32</v>
      </c>
      <c r="AJ25" s="365">
        <f t="shared" si="7"/>
        <v>10681.32</v>
      </c>
      <c r="AK25" s="460">
        <f t="shared" si="8"/>
        <v>10637.32</v>
      </c>
      <c r="AN25">
        <v>2024</v>
      </c>
      <c r="AO25" s="456">
        <f>113+120+90+125</f>
        <v>448</v>
      </c>
      <c r="AP25" s="525">
        <f>+AO25/(8980+AO24)</f>
        <v>4.8307095104593488E-2</v>
      </c>
    </row>
    <row r="26" spans="1:51" ht="14">
      <c r="A26" s="402" t="s">
        <v>533</v>
      </c>
      <c r="B26" s="403">
        <v>15005502</v>
      </c>
      <c r="C26" s="403">
        <v>155</v>
      </c>
      <c r="D26" s="402" t="s">
        <v>597</v>
      </c>
      <c r="E26" s="402" t="s">
        <v>506</v>
      </c>
      <c r="F26" s="483">
        <v>34615.230000000003</v>
      </c>
      <c r="G26" s="488">
        <v>31704.07</v>
      </c>
      <c r="H26" s="491">
        <v>31313.58</v>
      </c>
      <c r="I26" s="495">
        <v>43696.800000000003</v>
      </c>
      <c r="J26" s="495">
        <v>25673.15</v>
      </c>
      <c r="K26" s="499">
        <v>23581.13</v>
      </c>
      <c r="L26" s="502">
        <v>20219.29</v>
      </c>
      <c r="M26" s="519">
        <v>21127.52</v>
      </c>
      <c r="N26" s="491">
        <v>31026.959999999999</v>
      </c>
      <c r="O26" s="519">
        <v>42428.94</v>
      </c>
      <c r="P26" s="522">
        <v>35440.07</v>
      </c>
      <c r="Q26" s="480">
        <v>35612.620000000003</v>
      </c>
      <c r="R26" s="412">
        <f t="shared" si="4"/>
        <v>376439.36</v>
      </c>
      <c r="S26" s="456">
        <f t="shared" si="5"/>
        <v>62739.893333333333</v>
      </c>
      <c r="U26" s="9">
        <f t="shared" si="2"/>
        <v>0</v>
      </c>
      <c r="V26" s="9">
        <f t="shared" si="17"/>
        <v>0</v>
      </c>
      <c r="W26" s="9">
        <f t="shared" si="17"/>
        <v>0</v>
      </c>
      <c r="X26" s="9">
        <f t="shared" si="17"/>
        <v>0</v>
      </c>
      <c r="Y26" s="9">
        <f t="shared" si="17"/>
        <v>0</v>
      </c>
      <c r="Z26" s="9">
        <f t="shared" si="17"/>
        <v>0</v>
      </c>
      <c r="AA26" s="9">
        <f t="shared" si="17"/>
        <v>0</v>
      </c>
      <c r="AB26" s="9">
        <f t="shared" si="17"/>
        <v>0</v>
      </c>
      <c r="AC26" s="9">
        <f t="shared" si="17"/>
        <v>0</v>
      </c>
      <c r="AD26" s="9">
        <f t="shared" si="17"/>
        <v>376439.36</v>
      </c>
      <c r="AE26" s="9">
        <f t="shared" si="17"/>
        <v>0</v>
      </c>
      <c r="AF26" s="9">
        <f t="shared" si="17"/>
        <v>0</v>
      </c>
      <c r="AG26" s="9">
        <f t="shared" si="17"/>
        <v>0</v>
      </c>
      <c r="AH26" s="9">
        <f t="shared" si="17"/>
        <v>0</v>
      </c>
      <c r="AI26" s="9">
        <f t="shared" si="17"/>
        <v>0</v>
      </c>
      <c r="AJ26" s="365">
        <f t="shared" si="7"/>
        <v>376439.36</v>
      </c>
      <c r="AK26" s="460">
        <f t="shared" si="8"/>
        <v>376284.36</v>
      </c>
      <c r="AN26">
        <v>2025</v>
      </c>
      <c r="AO26" s="456">
        <f>130+118+113</f>
        <v>361</v>
      </c>
      <c r="AP26" s="525">
        <f>+AO26/(8980+AO24+AO25)</f>
        <v>3.713227730919564E-2</v>
      </c>
    </row>
    <row r="27" spans="1:51" ht="14">
      <c r="A27" s="402" t="s">
        <v>533</v>
      </c>
      <c r="B27" s="403">
        <v>7000800</v>
      </c>
      <c r="C27" s="403">
        <v>65</v>
      </c>
      <c r="D27" s="402" t="s">
        <v>627</v>
      </c>
      <c r="E27" s="402" t="s">
        <v>241</v>
      </c>
      <c r="F27" s="483">
        <v>7190.07</v>
      </c>
      <c r="G27" s="488">
        <v>7121.63</v>
      </c>
      <c r="H27" s="491">
        <v>6922.15</v>
      </c>
      <c r="I27" s="493">
        <v>7454.09</v>
      </c>
      <c r="J27" s="495">
        <v>6645.92</v>
      </c>
      <c r="K27" s="499">
        <v>6596.39</v>
      </c>
      <c r="L27" s="502">
        <v>5915.1</v>
      </c>
      <c r="M27" s="504">
        <v>5842.12</v>
      </c>
      <c r="N27" s="491">
        <v>7322</v>
      </c>
      <c r="O27" s="519">
        <v>7646.94</v>
      </c>
      <c r="P27" s="522">
        <v>7738.77</v>
      </c>
      <c r="Q27" s="480">
        <v>7540.58</v>
      </c>
      <c r="R27" s="412">
        <f t="shared" si="4"/>
        <v>83935.760000000009</v>
      </c>
      <c r="S27" s="456">
        <f t="shared" si="5"/>
        <v>13989.293333333335</v>
      </c>
      <c r="U27" s="9">
        <f t="shared" si="2"/>
        <v>0</v>
      </c>
      <c r="V27" s="9">
        <f t="shared" si="17"/>
        <v>0</v>
      </c>
      <c r="W27" s="9">
        <f t="shared" si="17"/>
        <v>0</v>
      </c>
      <c r="X27" s="9">
        <f t="shared" si="17"/>
        <v>0</v>
      </c>
      <c r="Y27" s="9">
        <f t="shared" si="17"/>
        <v>0</v>
      </c>
      <c r="Z27" s="9">
        <f t="shared" si="17"/>
        <v>0</v>
      </c>
      <c r="AA27" s="9">
        <f t="shared" si="17"/>
        <v>0</v>
      </c>
      <c r="AB27" s="9">
        <f t="shared" si="17"/>
        <v>0</v>
      </c>
      <c r="AC27" s="9">
        <f t="shared" si="17"/>
        <v>0</v>
      </c>
      <c r="AD27" s="9">
        <f t="shared" si="17"/>
        <v>83935.760000000009</v>
      </c>
      <c r="AE27" s="9">
        <f t="shared" si="17"/>
        <v>0</v>
      </c>
      <c r="AF27" s="9">
        <f t="shared" si="17"/>
        <v>0</v>
      </c>
      <c r="AG27" s="9">
        <f t="shared" si="17"/>
        <v>0</v>
      </c>
      <c r="AH27" s="9">
        <f t="shared" si="17"/>
        <v>0</v>
      </c>
      <c r="AI27" s="9">
        <f t="shared" si="17"/>
        <v>0</v>
      </c>
      <c r="AJ27" s="365">
        <f t="shared" si="7"/>
        <v>83935.760000000009</v>
      </c>
      <c r="AK27" s="460">
        <f t="shared" si="8"/>
        <v>83870.760000000009</v>
      </c>
    </row>
    <row r="28" spans="1:51" ht="14">
      <c r="A28" s="402" t="s">
        <v>660</v>
      </c>
      <c r="B28" s="403">
        <v>15069002</v>
      </c>
      <c r="C28" s="403">
        <v>62</v>
      </c>
      <c r="D28" s="402" t="s">
        <v>972</v>
      </c>
      <c r="E28" s="402" t="s">
        <v>972</v>
      </c>
      <c r="F28" s="487"/>
      <c r="G28" s="488">
        <v>247.78</v>
      </c>
      <c r="H28" s="491">
        <v>3024.04</v>
      </c>
      <c r="I28" s="493">
        <v>8941.69</v>
      </c>
      <c r="J28" s="495">
        <v>3714.76</v>
      </c>
      <c r="K28" s="499">
        <v>3752.41</v>
      </c>
      <c r="L28" s="502">
        <v>3173.48</v>
      </c>
      <c r="M28" s="504">
        <v>4651.71</v>
      </c>
      <c r="N28" s="491">
        <v>6597.45</v>
      </c>
      <c r="O28" s="519">
        <v>16400.580000000002</v>
      </c>
      <c r="P28" s="522">
        <v>11973.61</v>
      </c>
      <c r="Q28" s="480">
        <v>11973.61</v>
      </c>
      <c r="R28" s="412">
        <f t="shared" si="4"/>
        <v>74451.12</v>
      </c>
      <c r="U28" s="9">
        <f t="shared" si="2"/>
        <v>0</v>
      </c>
      <c r="V28" s="9">
        <f t="shared" si="17"/>
        <v>0</v>
      </c>
      <c r="W28" s="9">
        <f t="shared" si="17"/>
        <v>0</v>
      </c>
      <c r="X28" s="9">
        <f t="shared" si="17"/>
        <v>0</v>
      </c>
      <c r="Y28" s="9">
        <f t="shared" si="17"/>
        <v>0</v>
      </c>
      <c r="Z28" s="9">
        <f t="shared" si="17"/>
        <v>0</v>
      </c>
      <c r="AA28" s="9">
        <f t="shared" si="17"/>
        <v>0</v>
      </c>
      <c r="AB28" s="9">
        <f t="shared" si="17"/>
        <v>0</v>
      </c>
      <c r="AC28" s="9">
        <f t="shared" si="17"/>
        <v>0</v>
      </c>
      <c r="AD28" s="9">
        <f t="shared" si="17"/>
        <v>0</v>
      </c>
      <c r="AE28" s="9">
        <f t="shared" si="17"/>
        <v>0</v>
      </c>
      <c r="AF28" s="9">
        <f t="shared" si="17"/>
        <v>0</v>
      </c>
      <c r="AG28" s="9">
        <f t="shared" si="17"/>
        <v>74451.12</v>
      </c>
      <c r="AH28" s="9">
        <f t="shared" si="17"/>
        <v>0</v>
      </c>
      <c r="AI28" s="9">
        <f t="shared" si="17"/>
        <v>0</v>
      </c>
      <c r="AJ28" s="365">
        <f t="shared" si="7"/>
        <v>74451.12</v>
      </c>
      <c r="AK28" s="460">
        <f t="shared" si="8"/>
        <v>74389.119999999995</v>
      </c>
      <c r="AO28" s="456">
        <v>8980</v>
      </c>
    </row>
    <row r="29" spans="1:51" ht="14">
      <c r="A29" s="402" t="s">
        <v>535</v>
      </c>
      <c r="B29" s="404">
        <v>15066411</v>
      </c>
      <c r="C29" s="404">
        <v>230</v>
      </c>
      <c r="D29" s="405" t="s">
        <v>259</v>
      </c>
      <c r="E29" s="405" t="s">
        <v>384</v>
      </c>
      <c r="F29" s="483">
        <v>53716.35</v>
      </c>
      <c r="G29" s="488">
        <v>52864.86</v>
      </c>
      <c r="H29" s="491">
        <v>51826.25</v>
      </c>
      <c r="I29" s="493">
        <v>65483.1</v>
      </c>
      <c r="J29" s="495">
        <v>40926.910000000003</v>
      </c>
      <c r="K29" s="499">
        <v>30704.19</v>
      </c>
      <c r="L29" s="502">
        <v>22342.85</v>
      </c>
      <c r="M29" s="504">
        <v>32203.4</v>
      </c>
      <c r="N29" s="491">
        <v>49331.32</v>
      </c>
      <c r="O29" s="519">
        <v>69549.42</v>
      </c>
      <c r="P29" s="522">
        <v>53791.22</v>
      </c>
      <c r="Q29" s="480">
        <v>59808.34</v>
      </c>
      <c r="R29" s="412">
        <f t="shared" si="4"/>
        <v>582548.21</v>
      </c>
      <c r="S29" s="456">
        <f t="shared" si="5"/>
        <v>97091.368333333332</v>
      </c>
      <c r="U29" s="9">
        <f t="shared" si="2"/>
        <v>0</v>
      </c>
      <c r="V29" s="9">
        <f t="shared" si="17"/>
        <v>0</v>
      </c>
      <c r="W29" s="9">
        <f t="shared" si="17"/>
        <v>0</v>
      </c>
      <c r="X29" s="9">
        <f t="shared" si="17"/>
        <v>0</v>
      </c>
      <c r="Y29" s="9">
        <f t="shared" si="17"/>
        <v>0</v>
      </c>
      <c r="Z29" s="9">
        <f t="shared" si="17"/>
        <v>0</v>
      </c>
      <c r="AA29" s="9">
        <f t="shared" si="17"/>
        <v>0</v>
      </c>
      <c r="AB29" s="9">
        <f t="shared" si="17"/>
        <v>582548.21</v>
      </c>
      <c r="AC29" s="9">
        <f t="shared" si="17"/>
        <v>0</v>
      </c>
      <c r="AD29" s="9">
        <f t="shared" si="17"/>
        <v>0</v>
      </c>
      <c r="AE29" s="9">
        <f t="shared" si="17"/>
        <v>0</v>
      </c>
      <c r="AF29" s="9">
        <f t="shared" si="17"/>
        <v>0</v>
      </c>
      <c r="AG29" s="9">
        <f t="shared" si="17"/>
        <v>0</v>
      </c>
      <c r="AH29" s="9">
        <f t="shared" si="17"/>
        <v>0</v>
      </c>
      <c r="AI29" s="9">
        <f t="shared" si="17"/>
        <v>0</v>
      </c>
      <c r="AJ29" s="365">
        <f t="shared" si="7"/>
        <v>582548.21</v>
      </c>
      <c r="AK29" s="460">
        <f t="shared" si="8"/>
        <v>582318.21</v>
      </c>
      <c r="AO29" s="456">
        <f>+SUM(AO24:AO28)</f>
        <v>10083</v>
      </c>
      <c r="AP29" s="526">
        <f>+AO29-AO28</f>
        <v>1103</v>
      </c>
    </row>
    <row r="30" spans="1:51" ht="14">
      <c r="A30" s="402" t="s">
        <v>1000</v>
      </c>
      <c r="B30" s="404">
        <v>15074514</v>
      </c>
      <c r="C30" s="404"/>
      <c r="D30" s="405"/>
      <c r="E30" s="405" t="s">
        <v>978</v>
      </c>
      <c r="F30" s="487"/>
      <c r="G30" s="487"/>
      <c r="H30" s="487"/>
      <c r="I30" s="487"/>
      <c r="J30" s="487"/>
      <c r="K30" s="499">
        <v>628.45000000000005</v>
      </c>
      <c r="L30" s="502">
        <v>415.91</v>
      </c>
      <c r="M30" s="504">
        <v>467.47</v>
      </c>
      <c r="N30" s="491">
        <v>1001.42</v>
      </c>
      <c r="O30" s="519">
        <v>1329.92</v>
      </c>
      <c r="P30" s="522">
        <v>1465.13</v>
      </c>
      <c r="Q30" s="480">
        <v>1169.94</v>
      </c>
      <c r="R30" s="412">
        <f t="shared" si="4"/>
        <v>6478.24</v>
      </c>
      <c r="S30" s="456">
        <f>+R30/$S$2</f>
        <v>1079.7066666666667</v>
      </c>
      <c r="U30" s="9">
        <f t="shared" si="2"/>
        <v>0</v>
      </c>
      <c r="V30" s="9">
        <f t="shared" si="17"/>
        <v>0</v>
      </c>
      <c r="W30" s="9">
        <f t="shared" si="17"/>
        <v>0</v>
      </c>
      <c r="X30" s="9">
        <f t="shared" si="17"/>
        <v>0</v>
      </c>
      <c r="Y30" s="9">
        <f t="shared" si="17"/>
        <v>0</v>
      </c>
      <c r="Z30" s="9">
        <f t="shared" si="17"/>
        <v>0</v>
      </c>
      <c r="AA30" s="9">
        <f t="shared" si="17"/>
        <v>0</v>
      </c>
      <c r="AB30" s="9">
        <f t="shared" si="17"/>
        <v>0</v>
      </c>
      <c r="AC30" s="9">
        <f t="shared" si="17"/>
        <v>0</v>
      </c>
      <c r="AD30" s="9">
        <f t="shared" si="17"/>
        <v>0</v>
      </c>
      <c r="AE30" s="9">
        <f t="shared" si="17"/>
        <v>0</v>
      </c>
      <c r="AF30" s="9">
        <f t="shared" si="17"/>
        <v>0</v>
      </c>
      <c r="AG30" s="9">
        <f t="shared" si="17"/>
        <v>0</v>
      </c>
      <c r="AH30" s="9">
        <f t="shared" si="17"/>
        <v>6478.24</v>
      </c>
      <c r="AI30" s="9">
        <f t="shared" si="17"/>
        <v>0</v>
      </c>
      <c r="AJ30" s="365">
        <f t="shared" si="7"/>
        <v>6478.24</v>
      </c>
      <c r="AK30" s="460">
        <f t="shared" si="8"/>
        <v>6478.24</v>
      </c>
      <c r="AP30" s="525">
        <f>+AP29/AO28</f>
        <v>0.12282850779510023</v>
      </c>
    </row>
    <row r="31" spans="1:51" ht="14">
      <c r="A31" s="402" t="s">
        <v>658</v>
      </c>
      <c r="B31" s="403">
        <v>15062402</v>
      </c>
      <c r="C31" s="403">
        <v>126</v>
      </c>
      <c r="D31" s="402" t="s">
        <v>242</v>
      </c>
      <c r="E31" s="402" t="s">
        <v>242</v>
      </c>
      <c r="F31" s="484">
        <v>14251.1</v>
      </c>
      <c r="G31" s="488">
        <v>15035.81</v>
      </c>
      <c r="H31" s="491">
        <v>15035.81</v>
      </c>
      <c r="I31" s="493">
        <v>14933.42</v>
      </c>
      <c r="J31" s="495">
        <v>7917.03</v>
      </c>
      <c r="K31" s="499">
        <f>9640.98+11591.86</f>
        <v>21232.84</v>
      </c>
      <c r="L31" s="502">
        <v>8335.56</v>
      </c>
      <c r="M31" s="504">
        <v>7971.97</v>
      </c>
      <c r="N31" s="491">
        <v>9284.9699999999993</v>
      </c>
      <c r="O31" s="519">
        <v>13838.33</v>
      </c>
      <c r="P31" s="522">
        <v>14029.62</v>
      </c>
      <c r="Q31" s="480">
        <v>15229.27</v>
      </c>
      <c r="R31" s="412">
        <f t="shared" si="4"/>
        <v>157095.72999999998</v>
      </c>
      <c r="S31" s="456">
        <f t="shared" si="5"/>
        <v>26182.621666666662</v>
      </c>
      <c r="U31" s="9">
        <f t="shared" si="2"/>
        <v>0</v>
      </c>
      <c r="V31" s="9">
        <f t="shared" si="17"/>
        <v>0</v>
      </c>
      <c r="W31" s="9">
        <f t="shared" si="17"/>
        <v>0</v>
      </c>
      <c r="X31" s="9">
        <f t="shared" si="17"/>
        <v>0</v>
      </c>
      <c r="Y31" s="9">
        <f t="shared" si="17"/>
        <v>0</v>
      </c>
      <c r="Z31" s="9">
        <f t="shared" si="17"/>
        <v>0</v>
      </c>
      <c r="AA31" s="9">
        <f t="shared" si="17"/>
        <v>0</v>
      </c>
      <c r="AB31" s="9">
        <f t="shared" si="17"/>
        <v>0</v>
      </c>
      <c r="AC31" s="9">
        <f t="shared" si="17"/>
        <v>157095.72999999998</v>
      </c>
      <c r="AD31" s="9">
        <f t="shared" si="17"/>
        <v>0</v>
      </c>
      <c r="AE31" s="9">
        <f t="shared" si="17"/>
        <v>0</v>
      </c>
      <c r="AF31" s="9">
        <f t="shared" si="17"/>
        <v>0</v>
      </c>
      <c r="AG31" s="9">
        <f t="shared" si="17"/>
        <v>0</v>
      </c>
      <c r="AH31" s="9">
        <f t="shared" si="17"/>
        <v>0</v>
      </c>
      <c r="AI31" s="9">
        <f t="shared" si="17"/>
        <v>0</v>
      </c>
      <c r="AJ31" s="365">
        <f t="shared" si="7"/>
        <v>157095.72999999998</v>
      </c>
      <c r="AK31" s="460">
        <f t="shared" si="8"/>
        <v>156969.72999999998</v>
      </c>
    </row>
    <row r="32" spans="1:51" ht="14">
      <c r="A32" s="402" t="s">
        <v>705</v>
      </c>
      <c r="B32" s="403">
        <v>15062403</v>
      </c>
      <c r="C32" s="403">
        <v>72</v>
      </c>
      <c r="D32" s="402"/>
      <c r="E32" s="402" t="s">
        <v>890</v>
      </c>
      <c r="F32" s="483">
        <v>9444.49</v>
      </c>
      <c r="G32" s="488">
        <v>9685.26</v>
      </c>
      <c r="H32" s="491">
        <v>8638.57</v>
      </c>
      <c r="I32" s="493">
        <v>9676.2000000000007</v>
      </c>
      <c r="J32" s="499">
        <v>6514.04</v>
      </c>
      <c r="K32" s="479"/>
      <c r="L32" s="502">
        <v>4512.83</v>
      </c>
      <c r="M32" s="504">
        <v>6658.31</v>
      </c>
      <c r="N32" s="491">
        <v>7972.43</v>
      </c>
      <c r="O32" s="519">
        <v>8818.59</v>
      </c>
      <c r="P32" s="522">
        <v>9984.91</v>
      </c>
      <c r="Q32" s="480">
        <v>10088.01</v>
      </c>
      <c r="R32" s="412">
        <f t="shared" si="4"/>
        <v>91993.64</v>
      </c>
      <c r="S32" s="456">
        <f t="shared" si="5"/>
        <v>15332.273333333333</v>
      </c>
      <c r="U32" s="9">
        <f t="shared" si="2"/>
        <v>0</v>
      </c>
      <c r="V32" s="9">
        <f t="shared" si="17"/>
        <v>0</v>
      </c>
      <c r="W32" s="9">
        <f t="shared" si="17"/>
        <v>0</v>
      </c>
      <c r="X32" s="9">
        <f t="shared" si="17"/>
        <v>0</v>
      </c>
      <c r="Y32" s="9">
        <f t="shared" si="17"/>
        <v>0</v>
      </c>
      <c r="Z32" s="9">
        <f t="shared" si="17"/>
        <v>0</v>
      </c>
      <c r="AA32" s="9">
        <f t="shared" si="17"/>
        <v>0</v>
      </c>
      <c r="AB32" s="9">
        <f t="shared" si="17"/>
        <v>0</v>
      </c>
      <c r="AC32" s="9">
        <f t="shared" si="17"/>
        <v>0</v>
      </c>
      <c r="AD32" s="9">
        <f t="shared" si="17"/>
        <v>0</v>
      </c>
      <c r="AE32" s="9">
        <f t="shared" si="17"/>
        <v>0</v>
      </c>
      <c r="AF32" s="9">
        <f t="shared" si="17"/>
        <v>0</v>
      </c>
      <c r="AG32" s="9">
        <f t="shared" si="17"/>
        <v>0</v>
      </c>
      <c r="AH32" s="9">
        <f t="shared" si="17"/>
        <v>0</v>
      </c>
      <c r="AI32" s="9">
        <f t="shared" si="17"/>
        <v>91993.64</v>
      </c>
      <c r="AJ32" s="365">
        <f t="shared" si="7"/>
        <v>91993.64</v>
      </c>
      <c r="AK32" s="460">
        <f t="shared" si="8"/>
        <v>91921.64</v>
      </c>
    </row>
    <row r="33" spans="1:37" ht="14">
      <c r="A33" s="402" t="s">
        <v>535</v>
      </c>
      <c r="B33" s="403">
        <v>15006827</v>
      </c>
      <c r="C33" s="403">
        <v>114</v>
      </c>
      <c r="D33" s="402" t="s">
        <v>598</v>
      </c>
      <c r="E33" s="402" t="s">
        <v>344</v>
      </c>
      <c r="F33" s="483">
        <v>26361.9</v>
      </c>
      <c r="G33" s="488">
        <v>26459.91</v>
      </c>
      <c r="H33" s="491">
        <v>22089.63</v>
      </c>
      <c r="I33" s="493">
        <v>30555.040000000001</v>
      </c>
      <c r="J33" s="495">
        <v>19329</v>
      </c>
      <c r="K33" s="499">
        <v>14352.42</v>
      </c>
      <c r="L33" s="502">
        <v>9887.7999999999993</v>
      </c>
      <c r="M33" s="504">
        <v>11991.97</v>
      </c>
      <c r="N33" s="491">
        <v>21398.92</v>
      </c>
      <c r="O33" s="522">
        <v>34035.85</v>
      </c>
      <c r="P33" s="522">
        <v>22299.439999999999</v>
      </c>
      <c r="Q33" s="480">
        <v>24627.9</v>
      </c>
      <c r="R33" s="412">
        <f t="shared" si="4"/>
        <v>263389.78000000003</v>
      </c>
      <c r="S33" s="456">
        <f t="shared" si="5"/>
        <v>43898.296666666669</v>
      </c>
      <c r="U33" s="9">
        <f t="shared" si="2"/>
        <v>0</v>
      </c>
      <c r="V33" s="9">
        <f t="shared" si="17"/>
        <v>0</v>
      </c>
      <c r="W33" s="9">
        <f t="shared" si="17"/>
        <v>0</v>
      </c>
      <c r="X33" s="9">
        <f t="shared" si="17"/>
        <v>0</v>
      </c>
      <c r="Y33" s="9">
        <f t="shared" si="17"/>
        <v>0</v>
      </c>
      <c r="Z33" s="9">
        <f t="shared" si="17"/>
        <v>0</v>
      </c>
      <c r="AA33" s="9">
        <f t="shared" si="17"/>
        <v>0</v>
      </c>
      <c r="AB33" s="9">
        <f t="shared" si="17"/>
        <v>263389.78000000003</v>
      </c>
      <c r="AC33" s="9">
        <f t="shared" si="17"/>
        <v>0</v>
      </c>
      <c r="AD33" s="9">
        <f t="shared" si="17"/>
        <v>0</v>
      </c>
      <c r="AE33" s="9">
        <f t="shared" si="17"/>
        <v>0</v>
      </c>
      <c r="AF33" s="9">
        <f t="shared" si="17"/>
        <v>0</v>
      </c>
      <c r="AG33" s="9">
        <f t="shared" si="17"/>
        <v>0</v>
      </c>
      <c r="AH33" s="9">
        <f t="shared" si="17"/>
        <v>0</v>
      </c>
      <c r="AI33" s="9">
        <f t="shared" si="17"/>
        <v>0</v>
      </c>
      <c r="AJ33" s="365">
        <f t="shared" si="7"/>
        <v>263389.78000000003</v>
      </c>
      <c r="AK33" s="460">
        <f t="shared" si="8"/>
        <v>263275.78000000003</v>
      </c>
    </row>
    <row r="34" spans="1:37" ht="14">
      <c r="A34" s="402" t="s">
        <v>537</v>
      </c>
      <c r="B34" s="403">
        <v>15036833</v>
      </c>
      <c r="C34" s="403">
        <v>60</v>
      </c>
      <c r="D34" s="402" t="s">
        <v>591</v>
      </c>
      <c r="E34" s="402" t="s">
        <v>591</v>
      </c>
      <c r="F34" s="483">
        <v>11955.94</v>
      </c>
      <c r="G34" s="488">
        <v>13016.12</v>
      </c>
      <c r="H34" s="493">
        <v>11109.86</v>
      </c>
      <c r="I34" s="493">
        <v>16716.400000000001</v>
      </c>
      <c r="J34" s="495">
        <v>14406.16</v>
      </c>
      <c r="K34" s="499">
        <v>7055.06</v>
      </c>
      <c r="L34" s="502">
        <v>5449.52</v>
      </c>
      <c r="M34" s="504">
        <v>7409.9</v>
      </c>
      <c r="N34" s="491">
        <v>10954.06</v>
      </c>
      <c r="O34" s="519">
        <v>15556.02</v>
      </c>
      <c r="P34" s="522">
        <v>13603.31</v>
      </c>
      <c r="Q34" s="480">
        <v>12832.52</v>
      </c>
      <c r="R34" s="412">
        <f t="shared" si="4"/>
        <v>140064.87</v>
      </c>
      <c r="S34" s="456">
        <f t="shared" si="5"/>
        <v>23344.145</v>
      </c>
      <c r="U34" s="9">
        <f t="shared" si="2"/>
        <v>0</v>
      </c>
      <c r="V34" s="9">
        <f t="shared" ref="V34:AI49" si="19">+IF($A34=V$3,$R34,0)</f>
        <v>140064.87</v>
      </c>
      <c r="W34" s="9">
        <f t="shared" si="19"/>
        <v>0</v>
      </c>
      <c r="X34" s="9">
        <f t="shared" si="19"/>
        <v>0</v>
      </c>
      <c r="Y34" s="9">
        <f t="shared" si="19"/>
        <v>0</v>
      </c>
      <c r="Z34" s="9">
        <f t="shared" si="19"/>
        <v>0</v>
      </c>
      <c r="AA34" s="9">
        <f t="shared" si="19"/>
        <v>0</v>
      </c>
      <c r="AB34" s="9">
        <f t="shared" si="19"/>
        <v>0</v>
      </c>
      <c r="AC34" s="9">
        <f t="shared" si="19"/>
        <v>0</v>
      </c>
      <c r="AD34" s="9">
        <f t="shared" si="19"/>
        <v>0</v>
      </c>
      <c r="AE34" s="9">
        <f t="shared" si="19"/>
        <v>0</v>
      </c>
      <c r="AF34" s="9">
        <f t="shared" si="19"/>
        <v>0</v>
      </c>
      <c r="AG34" s="9">
        <f t="shared" si="19"/>
        <v>0</v>
      </c>
      <c r="AH34" s="9">
        <f t="shared" si="19"/>
        <v>0</v>
      </c>
      <c r="AI34" s="9">
        <f t="shared" si="19"/>
        <v>0</v>
      </c>
      <c r="AJ34" s="365">
        <f t="shared" si="7"/>
        <v>140064.87</v>
      </c>
      <c r="AK34" s="460">
        <f t="shared" si="8"/>
        <v>140004.87</v>
      </c>
    </row>
    <row r="35" spans="1:37" ht="14">
      <c r="A35" s="402" t="s">
        <v>530</v>
      </c>
      <c r="B35" s="403">
        <v>15059799</v>
      </c>
      <c r="C35" s="403">
        <v>84</v>
      </c>
      <c r="D35" s="402"/>
      <c r="E35" s="402" t="s">
        <v>887</v>
      </c>
      <c r="F35" s="483">
        <v>18595.560000000001</v>
      </c>
      <c r="G35" s="488">
        <v>17872.89</v>
      </c>
      <c r="H35" s="491">
        <v>17376.900000000001</v>
      </c>
      <c r="I35" s="493">
        <v>21250.51</v>
      </c>
      <c r="J35" s="495">
        <v>13174.55</v>
      </c>
      <c r="K35" s="499">
        <v>11219.9</v>
      </c>
      <c r="L35" s="502">
        <v>8335.02</v>
      </c>
      <c r="M35" s="504">
        <v>9266.9699999999993</v>
      </c>
      <c r="N35" s="519"/>
      <c r="O35" s="519">
        <v>19567.599999999999</v>
      </c>
      <c r="P35" s="522">
        <v>18157.36</v>
      </c>
      <c r="Q35" s="480">
        <v>19869.43</v>
      </c>
      <c r="R35" s="412">
        <f t="shared" si="4"/>
        <v>174686.69</v>
      </c>
      <c r="S35" s="456">
        <f t="shared" si="5"/>
        <v>29114.448333333334</v>
      </c>
      <c r="U35" s="9">
        <f t="shared" si="2"/>
        <v>0</v>
      </c>
      <c r="V35" s="9">
        <f t="shared" si="19"/>
        <v>0</v>
      </c>
      <c r="W35" s="9">
        <f t="shared" si="19"/>
        <v>0</v>
      </c>
      <c r="X35" s="9">
        <f t="shared" si="19"/>
        <v>0</v>
      </c>
      <c r="Y35" s="9">
        <f t="shared" si="19"/>
        <v>0</v>
      </c>
      <c r="Z35" s="9">
        <f t="shared" si="19"/>
        <v>174686.69</v>
      </c>
      <c r="AA35" s="9">
        <f t="shared" si="19"/>
        <v>0</v>
      </c>
      <c r="AB35" s="9">
        <f t="shared" si="19"/>
        <v>0</v>
      </c>
      <c r="AC35" s="9">
        <f t="shared" si="19"/>
        <v>0</v>
      </c>
      <c r="AD35" s="9">
        <f t="shared" si="19"/>
        <v>0</v>
      </c>
      <c r="AE35" s="9">
        <f t="shared" si="19"/>
        <v>0</v>
      </c>
      <c r="AF35" s="9">
        <f t="shared" si="19"/>
        <v>0</v>
      </c>
      <c r="AG35" s="9">
        <f t="shared" si="19"/>
        <v>0</v>
      </c>
      <c r="AH35" s="9">
        <f t="shared" si="19"/>
        <v>0</v>
      </c>
      <c r="AI35" s="9">
        <f t="shared" si="19"/>
        <v>0</v>
      </c>
      <c r="AJ35" s="365">
        <f t="shared" si="7"/>
        <v>174686.69</v>
      </c>
      <c r="AK35" s="460">
        <f t="shared" si="8"/>
        <v>174602.69</v>
      </c>
    </row>
    <row r="36" spans="1:37" ht="14">
      <c r="A36" s="402" t="s">
        <v>530</v>
      </c>
      <c r="B36" s="403">
        <v>7002501</v>
      </c>
      <c r="C36" s="403">
        <v>79</v>
      </c>
      <c r="D36" s="402"/>
      <c r="E36" s="402" t="s">
        <v>892</v>
      </c>
      <c r="F36" s="483">
        <v>22866.41</v>
      </c>
      <c r="G36" s="488">
        <v>22273.03</v>
      </c>
      <c r="H36" s="491">
        <v>18567.32</v>
      </c>
      <c r="I36" s="493">
        <v>25310.49</v>
      </c>
      <c r="J36" s="495">
        <v>15889.24</v>
      </c>
      <c r="K36" s="499">
        <v>12801.26</v>
      </c>
      <c r="L36" s="502">
        <v>10332.780000000001</v>
      </c>
      <c r="M36" s="504">
        <v>11242</v>
      </c>
      <c r="N36" s="491">
        <v>18214</v>
      </c>
      <c r="O36" s="519">
        <v>22613.95</v>
      </c>
      <c r="P36" s="522">
        <v>23157.58</v>
      </c>
      <c r="Q36" s="480">
        <v>22766.49</v>
      </c>
      <c r="R36" s="412">
        <f t="shared" si="4"/>
        <v>226034.55</v>
      </c>
      <c r="S36" s="456">
        <f t="shared" si="5"/>
        <v>37672.424999999996</v>
      </c>
      <c r="U36" s="9">
        <f t="shared" ref="U36:U68" si="20">+IF($A36=U$3,$R36,0)</f>
        <v>0</v>
      </c>
      <c r="V36" s="9">
        <f t="shared" si="19"/>
        <v>0</v>
      </c>
      <c r="W36" s="9">
        <f t="shared" si="19"/>
        <v>0</v>
      </c>
      <c r="X36" s="9">
        <f t="shared" si="19"/>
        <v>0</v>
      </c>
      <c r="Y36" s="9">
        <f t="shared" si="19"/>
        <v>0</v>
      </c>
      <c r="Z36" s="9">
        <f t="shared" si="19"/>
        <v>226034.55</v>
      </c>
      <c r="AA36" s="9">
        <f t="shared" si="19"/>
        <v>0</v>
      </c>
      <c r="AB36" s="9">
        <f t="shared" si="19"/>
        <v>0</v>
      </c>
      <c r="AC36" s="9">
        <f t="shared" si="19"/>
        <v>0</v>
      </c>
      <c r="AD36" s="9">
        <f t="shared" si="19"/>
        <v>0</v>
      </c>
      <c r="AE36" s="9">
        <f t="shared" si="19"/>
        <v>0</v>
      </c>
      <c r="AF36" s="9">
        <f t="shared" si="19"/>
        <v>0</v>
      </c>
      <c r="AG36" s="9">
        <f t="shared" si="19"/>
        <v>0</v>
      </c>
      <c r="AH36" s="9">
        <f t="shared" si="19"/>
        <v>0</v>
      </c>
      <c r="AI36" s="9">
        <f t="shared" si="19"/>
        <v>0</v>
      </c>
      <c r="AJ36" s="365">
        <f t="shared" si="7"/>
        <v>226034.55</v>
      </c>
      <c r="AK36" s="460">
        <f t="shared" si="8"/>
        <v>225955.55</v>
      </c>
    </row>
    <row r="37" spans="1:37" ht="14">
      <c r="A37" s="402" t="s">
        <v>659</v>
      </c>
      <c r="B37" s="403">
        <v>15056860</v>
      </c>
      <c r="C37" s="403">
        <v>56</v>
      </c>
      <c r="D37" s="402" t="s">
        <v>565</v>
      </c>
      <c r="E37" s="402" t="s">
        <v>565</v>
      </c>
      <c r="F37" s="483">
        <v>9177.27</v>
      </c>
      <c r="G37" s="488">
        <v>7606.69</v>
      </c>
      <c r="H37" s="493">
        <v>7448.18</v>
      </c>
      <c r="I37" s="493">
        <v>9844.6299999999992</v>
      </c>
      <c r="J37" s="495">
        <v>5487.35</v>
      </c>
      <c r="K37" s="499">
        <v>4968.3599999999997</v>
      </c>
      <c r="L37" s="502">
        <v>2749.53</v>
      </c>
      <c r="M37" s="504">
        <v>3023.22</v>
      </c>
      <c r="N37" s="491">
        <v>5454.8</v>
      </c>
      <c r="O37" s="519">
        <v>8952.94</v>
      </c>
      <c r="P37" s="522">
        <v>6895.41</v>
      </c>
      <c r="Q37" s="480">
        <v>7807.59</v>
      </c>
      <c r="R37" s="412">
        <f t="shared" si="4"/>
        <v>79415.97</v>
      </c>
      <c r="S37" s="456">
        <f t="shared" si="5"/>
        <v>13235.995000000001</v>
      </c>
      <c r="U37" s="9">
        <f t="shared" si="20"/>
        <v>0</v>
      </c>
      <c r="V37" s="9">
        <f t="shared" si="19"/>
        <v>0</v>
      </c>
      <c r="W37" s="9">
        <f t="shared" si="19"/>
        <v>0</v>
      </c>
      <c r="X37" s="9">
        <f t="shared" si="19"/>
        <v>0</v>
      </c>
      <c r="Y37" s="9">
        <f t="shared" si="19"/>
        <v>0</v>
      </c>
      <c r="Z37" s="9">
        <f t="shared" si="19"/>
        <v>0</v>
      </c>
      <c r="AA37" s="9">
        <f t="shared" si="19"/>
        <v>0</v>
      </c>
      <c r="AB37" s="9">
        <f t="shared" si="19"/>
        <v>0</v>
      </c>
      <c r="AC37" s="9">
        <f t="shared" si="19"/>
        <v>0</v>
      </c>
      <c r="AD37" s="9">
        <f t="shared" si="19"/>
        <v>0</v>
      </c>
      <c r="AE37" s="9">
        <f t="shared" si="19"/>
        <v>0</v>
      </c>
      <c r="AF37" s="9">
        <f t="shared" si="19"/>
        <v>79415.97</v>
      </c>
      <c r="AG37" s="9">
        <f t="shared" si="19"/>
        <v>0</v>
      </c>
      <c r="AH37" s="9">
        <f t="shared" si="19"/>
        <v>0</v>
      </c>
      <c r="AI37" s="9">
        <f t="shared" si="19"/>
        <v>0</v>
      </c>
      <c r="AJ37" s="365">
        <f t="shared" si="7"/>
        <v>79415.97</v>
      </c>
      <c r="AK37" s="460">
        <f t="shared" si="8"/>
        <v>79359.97</v>
      </c>
    </row>
    <row r="38" spans="1:37" ht="14">
      <c r="A38" s="402" t="s">
        <v>659</v>
      </c>
      <c r="B38" s="403">
        <v>15007588</v>
      </c>
      <c r="C38" s="403">
        <v>125</v>
      </c>
      <c r="D38" s="402" t="s">
        <v>620</v>
      </c>
      <c r="E38" s="402" t="s">
        <v>667</v>
      </c>
      <c r="F38" s="483">
        <v>28044.94</v>
      </c>
      <c r="G38" s="488">
        <v>10839.77</v>
      </c>
      <c r="H38" s="491">
        <v>22126.34</v>
      </c>
      <c r="I38" s="491">
        <v>21698.35</v>
      </c>
      <c r="J38" s="479"/>
      <c r="K38" s="479"/>
      <c r="L38" s="479"/>
      <c r="M38" s="479"/>
      <c r="N38" s="479"/>
      <c r="O38" s="479"/>
      <c r="P38" s="479"/>
      <c r="Q38" s="480"/>
      <c r="R38" s="412">
        <f t="shared" si="4"/>
        <v>82709.399999999994</v>
      </c>
      <c r="S38" s="456">
        <f t="shared" si="5"/>
        <v>13784.9</v>
      </c>
      <c r="U38" s="9">
        <f t="shared" si="20"/>
        <v>0</v>
      </c>
      <c r="V38" s="9">
        <f t="shared" si="19"/>
        <v>0</v>
      </c>
      <c r="W38" s="9">
        <f t="shared" si="19"/>
        <v>0</v>
      </c>
      <c r="X38" s="9">
        <f t="shared" si="19"/>
        <v>0</v>
      </c>
      <c r="Y38" s="9">
        <f t="shared" si="19"/>
        <v>0</v>
      </c>
      <c r="Z38" s="9">
        <f t="shared" si="19"/>
        <v>0</v>
      </c>
      <c r="AA38" s="9">
        <f t="shared" si="19"/>
        <v>0</v>
      </c>
      <c r="AB38" s="9">
        <f t="shared" si="19"/>
        <v>0</v>
      </c>
      <c r="AC38" s="9">
        <f t="shared" si="19"/>
        <v>0</v>
      </c>
      <c r="AD38" s="9">
        <f t="shared" si="19"/>
        <v>0</v>
      </c>
      <c r="AE38" s="9">
        <f t="shared" si="19"/>
        <v>0</v>
      </c>
      <c r="AF38" s="9">
        <f t="shared" si="19"/>
        <v>82709.399999999994</v>
      </c>
      <c r="AG38" s="9">
        <f t="shared" si="19"/>
        <v>0</v>
      </c>
      <c r="AH38" s="9">
        <f t="shared" si="19"/>
        <v>0</v>
      </c>
      <c r="AI38" s="9">
        <f t="shared" si="19"/>
        <v>0</v>
      </c>
      <c r="AJ38" s="365">
        <f t="shared" si="7"/>
        <v>82709.399999999994</v>
      </c>
      <c r="AK38" s="460">
        <f t="shared" si="8"/>
        <v>82584.399999999994</v>
      </c>
    </row>
    <row r="39" spans="1:37" ht="14">
      <c r="A39" s="402" t="s">
        <v>658</v>
      </c>
      <c r="B39" s="403">
        <v>15034969</v>
      </c>
      <c r="C39" s="403">
        <v>88</v>
      </c>
      <c r="D39" s="402" t="s">
        <v>732</v>
      </c>
      <c r="E39" s="402" t="s">
        <v>667</v>
      </c>
      <c r="F39" s="483">
        <v>22460.66</v>
      </c>
      <c r="G39" s="488">
        <v>23139.38</v>
      </c>
      <c r="H39" s="491">
        <v>20082.61</v>
      </c>
      <c r="I39" s="493">
        <v>25410.07</v>
      </c>
      <c r="J39" s="495">
        <v>17707.13</v>
      </c>
      <c r="K39" s="499">
        <v>13995.84</v>
      </c>
      <c r="L39" s="502">
        <v>17061.29</v>
      </c>
      <c r="M39" s="504">
        <v>17736.36</v>
      </c>
      <c r="N39" s="491">
        <v>21816.73</v>
      </c>
      <c r="O39" s="519">
        <v>26672.35</v>
      </c>
      <c r="P39" s="522">
        <v>23682.55</v>
      </c>
      <c r="Q39" s="529">
        <v>24464.28</v>
      </c>
      <c r="R39" s="412">
        <f t="shared" si="4"/>
        <v>254229.25000000003</v>
      </c>
      <c r="S39" s="456">
        <f t="shared" si="5"/>
        <v>42371.541666666672</v>
      </c>
      <c r="U39" s="9">
        <f t="shared" si="20"/>
        <v>0</v>
      </c>
      <c r="V39" s="9">
        <f t="shared" si="19"/>
        <v>0</v>
      </c>
      <c r="W39" s="9">
        <f t="shared" si="19"/>
        <v>0</v>
      </c>
      <c r="X39" s="9">
        <f t="shared" si="19"/>
        <v>0</v>
      </c>
      <c r="Y39" s="9">
        <f t="shared" si="19"/>
        <v>0</v>
      </c>
      <c r="Z39" s="9">
        <f t="shared" si="19"/>
        <v>0</v>
      </c>
      <c r="AA39" s="9">
        <f t="shared" si="19"/>
        <v>0</v>
      </c>
      <c r="AB39" s="9">
        <f t="shared" si="19"/>
        <v>0</v>
      </c>
      <c r="AC39" s="9">
        <f t="shared" si="19"/>
        <v>254229.25000000003</v>
      </c>
      <c r="AD39" s="9">
        <f t="shared" si="19"/>
        <v>0</v>
      </c>
      <c r="AE39" s="9">
        <f t="shared" si="19"/>
        <v>0</v>
      </c>
      <c r="AF39" s="9">
        <f t="shared" si="19"/>
        <v>0</v>
      </c>
      <c r="AG39" s="9">
        <f t="shared" si="19"/>
        <v>0</v>
      </c>
      <c r="AH39" s="9">
        <f t="shared" si="19"/>
        <v>0</v>
      </c>
      <c r="AI39" s="9">
        <f t="shared" si="19"/>
        <v>0</v>
      </c>
      <c r="AJ39" s="365">
        <f t="shared" si="7"/>
        <v>254229.25000000003</v>
      </c>
      <c r="AK39" s="460">
        <f t="shared" si="8"/>
        <v>254141.25000000003</v>
      </c>
    </row>
    <row r="40" spans="1:37" ht="14">
      <c r="A40" s="402" t="s">
        <v>1000</v>
      </c>
      <c r="B40" s="403">
        <v>15053151</v>
      </c>
      <c r="C40" s="403"/>
      <c r="D40" s="402" t="s">
        <v>714</v>
      </c>
      <c r="E40" s="402" t="s">
        <v>714</v>
      </c>
      <c r="F40" s="483">
        <v>281.83999999999997</v>
      </c>
      <c r="G40" s="488">
        <v>199.35</v>
      </c>
      <c r="H40" s="491">
        <v>329.89</v>
      </c>
      <c r="I40" s="493">
        <v>396.68</v>
      </c>
      <c r="J40" s="487"/>
      <c r="K40" s="487"/>
      <c r="L40" s="487"/>
      <c r="M40" s="487"/>
      <c r="N40" s="487"/>
      <c r="O40" s="487"/>
      <c r="P40" s="487"/>
      <c r="Q40" s="487"/>
      <c r="R40" s="412">
        <f t="shared" si="4"/>
        <v>1207.76</v>
      </c>
      <c r="S40" s="456">
        <f t="shared" si="5"/>
        <v>201.29333333333332</v>
      </c>
      <c r="U40" s="9">
        <f t="shared" si="20"/>
        <v>0</v>
      </c>
      <c r="V40" s="9">
        <f t="shared" si="19"/>
        <v>0</v>
      </c>
      <c r="W40" s="9">
        <f t="shared" si="19"/>
        <v>0</v>
      </c>
      <c r="X40" s="9">
        <f t="shared" si="19"/>
        <v>0</v>
      </c>
      <c r="Y40" s="9">
        <f t="shared" si="19"/>
        <v>0</v>
      </c>
      <c r="Z40" s="9">
        <f t="shared" si="19"/>
        <v>0</v>
      </c>
      <c r="AA40" s="9">
        <f t="shared" si="19"/>
        <v>0</v>
      </c>
      <c r="AB40" s="9">
        <f t="shared" si="19"/>
        <v>0</v>
      </c>
      <c r="AC40" s="9">
        <f t="shared" si="19"/>
        <v>0</v>
      </c>
      <c r="AD40" s="9">
        <f t="shared" si="19"/>
        <v>0</v>
      </c>
      <c r="AE40" s="9">
        <f t="shared" si="19"/>
        <v>0</v>
      </c>
      <c r="AF40" s="9">
        <f t="shared" si="19"/>
        <v>0</v>
      </c>
      <c r="AG40" s="9">
        <f t="shared" si="19"/>
        <v>0</v>
      </c>
      <c r="AH40" s="9">
        <f t="shared" si="19"/>
        <v>1207.76</v>
      </c>
      <c r="AI40" s="9">
        <f t="shared" si="19"/>
        <v>0</v>
      </c>
      <c r="AJ40" s="365">
        <f t="shared" si="7"/>
        <v>1207.76</v>
      </c>
      <c r="AK40" s="460">
        <f t="shared" si="8"/>
        <v>1207.76</v>
      </c>
    </row>
    <row r="41" spans="1:37" ht="14">
      <c r="A41" s="402" t="s">
        <v>531</v>
      </c>
      <c r="B41" s="403">
        <v>7003500</v>
      </c>
      <c r="C41" s="403">
        <v>366</v>
      </c>
      <c r="D41" s="402" t="s">
        <v>350</v>
      </c>
      <c r="E41" s="402" t="s">
        <v>350</v>
      </c>
      <c r="F41" s="483">
        <v>47387.839999999997</v>
      </c>
      <c r="G41" s="488">
        <v>56688.88</v>
      </c>
      <c r="H41" s="491">
        <v>74710.84</v>
      </c>
      <c r="I41" s="493">
        <v>100465.5</v>
      </c>
      <c r="J41" s="495">
        <v>60688.73</v>
      </c>
      <c r="K41" s="499">
        <v>66609.83</v>
      </c>
      <c r="L41" s="502">
        <v>37663.08</v>
      </c>
      <c r="M41" s="504">
        <v>51961.35</v>
      </c>
      <c r="N41" s="491">
        <v>73824.97</v>
      </c>
      <c r="O41" s="519">
        <v>115323.07</v>
      </c>
      <c r="P41" s="522">
        <v>99163.64</v>
      </c>
      <c r="Q41" s="480">
        <v>95779.96</v>
      </c>
      <c r="R41" s="412">
        <f t="shared" si="4"/>
        <v>880267.69000000006</v>
      </c>
      <c r="S41" s="456">
        <f t="shared" si="5"/>
        <v>146711.28166666668</v>
      </c>
      <c r="U41" s="9">
        <f t="shared" si="20"/>
        <v>0</v>
      </c>
      <c r="V41" s="9">
        <f t="shared" si="19"/>
        <v>0</v>
      </c>
      <c r="W41" s="9">
        <f t="shared" si="19"/>
        <v>0</v>
      </c>
      <c r="X41" s="9">
        <f t="shared" si="19"/>
        <v>880267.69000000006</v>
      </c>
      <c r="Y41" s="9">
        <f t="shared" si="19"/>
        <v>0</v>
      </c>
      <c r="Z41" s="9">
        <f t="shared" si="19"/>
        <v>0</v>
      </c>
      <c r="AA41" s="9">
        <f t="shared" si="19"/>
        <v>0</v>
      </c>
      <c r="AB41" s="9">
        <f t="shared" si="19"/>
        <v>0</v>
      </c>
      <c r="AC41" s="9">
        <f t="shared" si="19"/>
        <v>0</v>
      </c>
      <c r="AD41" s="9">
        <f t="shared" si="19"/>
        <v>0</v>
      </c>
      <c r="AE41" s="9">
        <f t="shared" si="19"/>
        <v>0</v>
      </c>
      <c r="AF41" s="9">
        <f t="shared" si="19"/>
        <v>0</v>
      </c>
      <c r="AG41" s="9">
        <f t="shared" si="19"/>
        <v>0</v>
      </c>
      <c r="AH41" s="9">
        <f t="shared" si="19"/>
        <v>0</v>
      </c>
      <c r="AI41" s="9">
        <f t="shared" si="19"/>
        <v>0</v>
      </c>
      <c r="AJ41" s="365">
        <f t="shared" si="7"/>
        <v>880267.69000000006</v>
      </c>
      <c r="AK41" s="460">
        <f t="shared" si="8"/>
        <v>879901.69000000006</v>
      </c>
    </row>
    <row r="42" spans="1:37" ht="14">
      <c r="A42" s="402" t="s">
        <v>530</v>
      </c>
      <c r="B42" s="403">
        <v>15031776</v>
      </c>
      <c r="C42" s="403">
        <v>100</v>
      </c>
      <c r="D42" s="402" t="s">
        <v>517</v>
      </c>
      <c r="E42" s="402" t="s">
        <v>247</v>
      </c>
      <c r="F42" s="483">
        <v>19962.37</v>
      </c>
      <c r="G42" s="488">
        <v>19089.099999999999</v>
      </c>
      <c r="H42" s="491">
        <v>20460.689999999999</v>
      </c>
      <c r="I42" s="493">
        <v>21599.78</v>
      </c>
      <c r="J42" s="496">
        <v>14507.25</v>
      </c>
      <c r="K42" s="499">
        <v>11391.58</v>
      </c>
      <c r="L42" s="502">
        <v>8345.58</v>
      </c>
      <c r="M42" s="504">
        <v>10499.33</v>
      </c>
      <c r="N42" s="491">
        <v>15176.13</v>
      </c>
      <c r="O42" s="519">
        <v>22910.080000000002</v>
      </c>
      <c r="P42" s="522">
        <v>18998.79</v>
      </c>
      <c r="Q42" s="480">
        <v>17257.39</v>
      </c>
      <c r="R42" s="412">
        <f t="shared" si="4"/>
        <v>200198.07</v>
      </c>
      <c r="S42" s="456">
        <f t="shared" si="5"/>
        <v>33366.345000000001</v>
      </c>
      <c r="U42" s="9">
        <f t="shared" si="20"/>
        <v>0</v>
      </c>
      <c r="V42" s="9">
        <f t="shared" si="19"/>
        <v>0</v>
      </c>
      <c r="W42" s="9">
        <f t="shared" si="19"/>
        <v>0</v>
      </c>
      <c r="X42" s="9">
        <f t="shared" si="19"/>
        <v>0</v>
      </c>
      <c r="Y42" s="9">
        <f t="shared" si="19"/>
        <v>0</v>
      </c>
      <c r="Z42" s="9">
        <f t="shared" si="19"/>
        <v>200198.07</v>
      </c>
      <c r="AA42" s="9">
        <f t="shared" si="19"/>
        <v>0</v>
      </c>
      <c r="AB42" s="9">
        <f t="shared" si="19"/>
        <v>0</v>
      </c>
      <c r="AC42" s="9">
        <f t="shared" si="19"/>
        <v>0</v>
      </c>
      <c r="AD42" s="9">
        <f t="shared" si="19"/>
        <v>0</v>
      </c>
      <c r="AE42" s="9">
        <f t="shared" si="19"/>
        <v>0</v>
      </c>
      <c r="AF42" s="9">
        <f t="shared" si="19"/>
        <v>0</v>
      </c>
      <c r="AG42" s="9">
        <f t="shared" si="19"/>
        <v>0</v>
      </c>
      <c r="AH42" s="9">
        <f t="shared" si="19"/>
        <v>0</v>
      </c>
      <c r="AI42" s="9">
        <f t="shared" si="19"/>
        <v>0</v>
      </c>
      <c r="AJ42" s="365">
        <f t="shared" si="7"/>
        <v>200198.07</v>
      </c>
      <c r="AK42" s="460">
        <f t="shared" si="8"/>
        <v>200098.07</v>
      </c>
    </row>
    <row r="43" spans="1:37" ht="14">
      <c r="A43" s="402" t="s">
        <v>658</v>
      </c>
      <c r="B43" s="403">
        <v>15054166</v>
      </c>
      <c r="C43" s="403">
        <v>174</v>
      </c>
      <c r="D43" s="402" t="s">
        <v>671</v>
      </c>
      <c r="E43" s="402" t="s">
        <v>670</v>
      </c>
      <c r="F43" s="483">
        <v>47616.53</v>
      </c>
      <c r="G43" s="488">
        <v>42446.99</v>
      </c>
      <c r="H43" s="493">
        <v>41329.94</v>
      </c>
      <c r="I43" s="493">
        <v>57740.68</v>
      </c>
      <c r="J43" s="495">
        <v>37288.870000000003</v>
      </c>
      <c r="K43" s="499">
        <v>33922.18</v>
      </c>
      <c r="L43" s="504">
        <v>25939.72</v>
      </c>
      <c r="M43" s="504">
        <v>30924.92</v>
      </c>
      <c r="N43" s="491">
        <v>40107.22</v>
      </c>
      <c r="O43" s="519">
        <v>59482.27</v>
      </c>
      <c r="P43" s="522">
        <v>55120.800000000003</v>
      </c>
      <c r="Q43" s="480">
        <v>51466.64</v>
      </c>
      <c r="R43" s="412">
        <f t="shared" si="4"/>
        <v>523386.75999999995</v>
      </c>
      <c r="S43" s="456">
        <f t="shared" si="5"/>
        <v>87231.126666666663</v>
      </c>
      <c r="U43" s="9">
        <f t="shared" si="20"/>
        <v>0</v>
      </c>
      <c r="V43" s="9">
        <f t="shared" si="19"/>
        <v>0</v>
      </c>
      <c r="W43" s="9">
        <f t="shared" si="19"/>
        <v>0</v>
      </c>
      <c r="X43" s="9">
        <f t="shared" si="19"/>
        <v>0</v>
      </c>
      <c r="Y43" s="9">
        <f t="shared" si="19"/>
        <v>0</v>
      </c>
      <c r="Z43" s="9">
        <f t="shared" si="19"/>
        <v>0</v>
      </c>
      <c r="AA43" s="9">
        <f t="shared" si="19"/>
        <v>0</v>
      </c>
      <c r="AB43" s="9">
        <f t="shared" si="19"/>
        <v>0</v>
      </c>
      <c r="AC43" s="9">
        <f t="shared" si="19"/>
        <v>523386.75999999995</v>
      </c>
      <c r="AD43" s="9">
        <f t="shared" si="19"/>
        <v>0</v>
      </c>
      <c r="AE43" s="9">
        <f t="shared" si="19"/>
        <v>0</v>
      </c>
      <c r="AF43" s="9">
        <f t="shared" si="19"/>
        <v>0</v>
      </c>
      <c r="AG43" s="9">
        <f t="shared" si="19"/>
        <v>0</v>
      </c>
      <c r="AH43" s="9">
        <f t="shared" si="19"/>
        <v>0</v>
      </c>
      <c r="AI43" s="9">
        <f t="shared" si="19"/>
        <v>0</v>
      </c>
      <c r="AJ43" s="365">
        <f t="shared" si="7"/>
        <v>523386.75999999995</v>
      </c>
      <c r="AK43" s="460">
        <f t="shared" si="8"/>
        <v>523212.75999999995</v>
      </c>
    </row>
    <row r="44" spans="1:37" ht="14">
      <c r="A44" s="402" t="s">
        <v>705</v>
      </c>
      <c r="B44" s="403">
        <v>15006999</v>
      </c>
      <c r="C44" s="403">
        <v>82</v>
      </c>
      <c r="D44" s="402" t="s">
        <v>527</v>
      </c>
      <c r="E44" s="402" t="s">
        <v>622</v>
      </c>
      <c r="F44" s="483">
        <v>21226.94</v>
      </c>
      <c r="G44" s="488">
        <v>18899.45</v>
      </c>
      <c r="H44" s="491">
        <v>19240.29</v>
      </c>
      <c r="I44" s="493">
        <v>25506.73</v>
      </c>
      <c r="J44" s="495">
        <v>16551.759999999998</v>
      </c>
      <c r="K44" s="499">
        <v>13225.44</v>
      </c>
      <c r="L44" s="504">
        <v>13308.31</v>
      </c>
      <c r="M44" s="504">
        <v>13768.54</v>
      </c>
      <c r="N44" s="491">
        <v>19902.759999999998</v>
      </c>
      <c r="O44" s="519">
        <v>24629.22</v>
      </c>
      <c r="P44" s="522">
        <v>22114.22</v>
      </c>
      <c r="Q44" s="480">
        <v>20910.23</v>
      </c>
      <c r="R44" s="412">
        <f t="shared" si="4"/>
        <v>229283.89</v>
      </c>
      <c r="S44" s="456">
        <f t="shared" si="5"/>
        <v>38213.981666666667</v>
      </c>
      <c r="U44" s="9">
        <f t="shared" si="20"/>
        <v>0</v>
      </c>
      <c r="V44" s="9">
        <f t="shared" si="19"/>
        <v>0</v>
      </c>
      <c r="W44" s="9">
        <f t="shared" si="19"/>
        <v>0</v>
      </c>
      <c r="X44" s="9">
        <f t="shared" si="19"/>
        <v>0</v>
      </c>
      <c r="Y44" s="9">
        <f t="shared" si="19"/>
        <v>0</v>
      </c>
      <c r="Z44" s="9">
        <f t="shared" si="19"/>
        <v>0</v>
      </c>
      <c r="AA44" s="9">
        <f t="shared" si="19"/>
        <v>0</v>
      </c>
      <c r="AB44" s="9">
        <f t="shared" si="19"/>
        <v>0</v>
      </c>
      <c r="AC44" s="9">
        <f t="shared" si="19"/>
        <v>0</v>
      </c>
      <c r="AD44" s="9">
        <f t="shared" si="19"/>
        <v>0</v>
      </c>
      <c r="AE44" s="9">
        <f t="shared" si="19"/>
        <v>0</v>
      </c>
      <c r="AF44" s="9">
        <f t="shared" si="19"/>
        <v>0</v>
      </c>
      <c r="AG44" s="9">
        <f t="shared" si="19"/>
        <v>0</v>
      </c>
      <c r="AH44" s="9">
        <f t="shared" si="19"/>
        <v>0</v>
      </c>
      <c r="AI44" s="9">
        <f t="shared" si="19"/>
        <v>229283.89</v>
      </c>
      <c r="AJ44" s="365">
        <f t="shared" si="7"/>
        <v>229283.89</v>
      </c>
      <c r="AK44" s="460">
        <f t="shared" si="8"/>
        <v>229201.89</v>
      </c>
    </row>
    <row r="45" spans="1:37" ht="14">
      <c r="A45" s="402" t="s">
        <v>664</v>
      </c>
      <c r="B45" s="403">
        <v>7009500</v>
      </c>
      <c r="C45" s="403">
        <v>96</v>
      </c>
      <c r="D45" s="402" t="s">
        <v>515</v>
      </c>
      <c r="E45" s="402" t="s">
        <v>515</v>
      </c>
      <c r="F45" s="483">
        <v>21114.240000000002</v>
      </c>
      <c r="G45" s="488">
        <v>23370.63</v>
      </c>
      <c r="H45" s="491">
        <v>22418.68</v>
      </c>
      <c r="I45" s="493">
        <v>28131.360000000001</v>
      </c>
      <c r="J45" s="495">
        <v>18815.48</v>
      </c>
      <c r="K45" s="499">
        <v>15758.28</v>
      </c>
      <c r="L45" s="502">
        <v>16192.75</v>
      </c>
      <c r="M45" s="504">
        <v>15725.26</v>
      </c>
      <c r="N45" s="491">
        <v>23081.62</v>
      </c>
      <c r="O45" s="519">
        <v>29916.58</v>
      </c>
      <c r="P45" s="522">
        <v>24405.42</v>
      </c>
      <c r="Q45" s="480">
        <v>26368.3</v>
      </c>
      <c r="R45" s="412">
        <f t="shared" si="4"/>
        <v>265298.59999999998</v>
      </c>
      <c r="S45" s="456">
        <f t="shared" si="5"/>
        <v>44216.433333333327</v>
      </c>
      <c r="U45" s="9">
        <f t="shared" si="20"/>
        <v>0</v>
      </c>
      <c r="V45" s="9">
        <f t="shared" si="19"/>
        <v>0</v>
      </c>
      <c r="W45" s="9">
        <f t="shared" si="19"/>
        <v>0</v>
      </c>
      <c r="X45" s="9">
        <f t="shared" si="19"/>
        <v>0</v>
      </c>
      <c r="Y45" s="9">
        <f t="shared" si="19"/>
        <v>0</v>
      </c>
      <c r="Z45" s="9">
        <f t="shared" si="19"/>
        <v>0</v>
      </c>
      <c r="AA45" s="9">
        <f t="shared" si="19"/>
        <v>0</v>
      </c>
      <c r="AB45" s="9">
        <f t="shared" si="19"/>
        <v>0</v>
      </c>
      <c r="AC45" s="9">
        <f t="shared" si="19"/>
        <v>0</v>
      </c>
      <c r="AD45" s="9">
        <f t="shared" si="19"/>
        <v>0</v>
      </c>
      <c r="AE45" s="9">
        <f t="shared" si="19"/>
        <v>0</v>
      </c>
      <c r="AF45" s="9">
        <f t="shared" si="19"/>
        <v>0</v>
      </c>
      <c r="AG45" s="9">
        <f t="shared" si="19"/>
        <v>265298.59999999998</v>
      </c>
      <c r="AH45" s="9">
        <f t="shared" si="19"/>
        <v>0</v>
      </c>
      <c r="AI45" s="9">
        <f t="shared" si="19"/>
        <v>0</v>
      </c>
      <c r="AJ45" s="365">
        <f t="shared" si="7"/>
        <v>265298.59999999998</v>
      </c>
      <c r="AK45" s="460">
        <f t="shared" si="8"/>
        <v>265202.59999999998</v>
      </c>
    </row>
    <row r="46" spans="1:37" ht="14">
      <c r="A46" s="402" t="s">
        <v>659</v>
      </c>
      <c r="B46" s="404">
        <v>15037963</v>
      </c>
      <c r="C46" s="404">
        <v>78</v>
      </c>
      <c r="D46" s="405" t="s">
        <v>606</v>
      </c>
      <c r="E46" s="405" t="s">
        <v>605</v>
      </c>
      <c r="F46" s="483">
        <v>15690</v>
      </c>
      <c r="G46" s="488">
        <v>16481.23</v>
      </c>
      <c r="H46" s="491">
        <v>17694.599999999999</v>
      </c>
      <c r="I46" s="495">
        <v>20314.46</v>
      </c>
      <c r="J46" s="495">
        <v>13045.12</v>
      </c>
      <c r="K46" s="499">
        <v>11621.72</v>
      </c>
      <c r="L46" s="502">
        <v>9265.09</v>
      </c>
      <c r="M46" s="504">
        <v>9019.84</v>
      </c>
      <c r="N46" s="491">
        <v>12637.93</v>
      </c>
      <c r="O46" s="519">
        <v>18153.66</v>
      </c>
      <c r="P46" s="522">
        <v>13416.66</v>
      </c>
      <c r="Q46" s="480">
        <v>13917.15</v>
      </c>
      <c r="R46" s="412">
        <f t="shared" si="4"/>
        <v>171257.46</v>
      </c>
      <c r="S46" s="456">
        <f t="shared" si="5"/>
        <v>28542.91</v>
      </c>
      <c r="U46" s="9">
        <f t="shared" si="20"/>
        <v>0</v>
      </c>
      <c r="V46" s="9">
        <f t="shared" si="19"/>
        <v>0</v>
      </c>
      <c r="W46" s="9">
        <f t="shared" si="19"/>
        <v>0</v>
      </c>
      <c r="X46" s="9">
        <f t="shared" si="19"/>
        <v>0</v>
      </c>
      <c r="Y46" s="9">
        <f t="shared" si="19"/>
        <v>0</v>
      </c>
      <c r="Z46" s="9">
        <f t="shared" si="19"/>
        <v>0</v>
      </c>
      <c r="AA46" s="9">
        <f t="shared" si="19"/>
        <v>0</v>
      </c>
      <c r="AB46" s="9">
        <f t="shared" si="19"/>
        <v>0</v>
      </c>
      <c r="AC46" s="9">
        <f t="shared" si="19"/>
        <v>0</v>
      </c>
      <c r="AD46" s="9">
        <f t="shared" si="19"/>
        <v>0</v>
      </c>
      <c r="AE46" s="9">
        <f t="shared" si="19"/>
        <v>0</v>
      </c>
      <c r="AF46" s="9">
        <f t="shared" si="19"/>
        <v>171257.46</v>
      </c>
      <c r="AG46" s="9">
        <f t="shared" si="19"/>
        <v>0</v>
      </c>
      <c r="AH46" s="9">
        <f t="shared" si="19"/>
        <v>0</v>
      </c>
      <c r="AI46" s="9">
        <f t="shared" si="19"/>
        <v>0</v>
      </c>
      <c r="AJ46" s="365">
        <f t="shared" si="7"/>
        <v>171257.46</v>
      </c>
      <c r="AK46" s="460">
        <f t="shared" si="8"/>
        <v>171179.46</v>
      </c>
    </row>
    <row r="47" spans="1:37" ht="14">
      <c r="A47" s="402" t="s">
        <v>530</v>
      </c>
      <c r="B47" s="404">
        <v>15061297</v>
      </c>
      <c r="C47" s="404">
        <v>123</v>
      </c>
      <c r="D47" s="405"/>
      <c r="E47" s="405" t="s">
        <v>854</v>
      </c>
      <c r="F47" s="483">
        <v>22159.03</v>
      </c>
      <c r="G47" s="488">
        <v>18403.25</v>
      </c>
      <c r="H47" s="491">
        <v>16602.419999999998</v>
      </c>
      <c r="I47" s="493">
        <v>25213.77</v>
      </c>
      <c r="J47" s="495">
        <v>13137.25</v>
      </c>
      <c r="K47" s="499">
        <v>11312.07</v>
      </c>
      <c r="L47" s="502">
        <v>10033.61</v>
      </c>
      <c r="M47" s="504">
        <v>10458.17</v>
      </c>
      <c r="N47" s="491">
        <v>17191.71</v>
      </c>
      <c r="O47" s="519">
        <v>25386.52</v>
      </c>
      <c r="P47" s="522">
        <v>21069</v>
      </c>
      <c r="Q47" s="480">
        <v>19927.95</v>
      </c>
      <c r="R47" s="412">
        <f t="shared" si="4"/>
        <v>210894.75</v>
      </c>
      <c r="S47" s="456">
        <f t="shared" si="5"/>
        <v>35149.125</v>
      </c>
      <c r="U47" s="9">
        <f t="shared" si="20"/>
        <v>0</v>
      </c>
      <c r="V47" s="9">
        <f t="shared" si="19"/>
        <v>0</v>
      </c>
      <c r="W47" s="9">
        <f t="shared" si="19"/>
        <v>0</v>
      </c>
      <c r="X47" s="9">
        <f t="shared" si="19"/>
        <v>0</v>
      </c>
      <c r="Y47" s="9">
        <f t="shared" si="19"/>
        <v>0</v>
      </c>
      <c r="Z47" s="9">
        <f t="shared" si="19"/>
        <v>210894.75</v>
      </c>
      <c r="AA47" s="9">
        <f t="shared" si="19"/>
        <v>0</v>
      </c>
      <c r="AB47" s="9">
        <f t="shared" si="19"/>
        <v>0</v>
      </c>
      <c r="AC47" s="9">
        <f t="shared" si="19"/>
        <v>0</v>
      </c>
      <c r="AD47" s="9">
        <f t="shared" si="19"/>
        <v>0</v>
      </c>
      <c r="AE47" s="9">
        <f t="shared" si="19"/>
        <v>0</v>
      </c>
      <c r="AF47" s="9">
        <f t="shared" si="19"/>
        <v>0</v>
      </c>
      <c r="AG47" s="9">
        <f t="shared" si="19"/>
        <v>0</v>
      </c>
      <c r="AH47" s="9">
        <f t="shared" si="19"/>
        <v>0</v>
      </c>
      <c r="AI47" s="9">
        <f t="shared" si="19"/>
        <v>0</v>
      </c>
      <c r="AJ47" s="365">
        <f t="shared" si="7"/>
        <v>210894.75</v>
      </c>
      <c r="AK47" s="460">
        <f t="shared" si="8"/>
        <v>210771.75</v>
      </c>
    </row>
    <row r="48" spans="1:37" ht="14">
      <c r="A48" s="402" t="s">
        <v>658</v>
      </c>
      <c r="B48" s="403">
        <v>15074330</v>
      </c>
      <c r="C48" s="403">
        <v>102</v>
      </c>
      <c r="D48" s="402" t="s">
        <v>715</v>
      </c>
      <c r="E48" s="402" t="s">
        <v>601</v>
      </c>
      <c r="F48" s="483">
        <v>25330.44</v>
      </c>
      <c r="G48" s="488">
        <v>20686.3</v>
      </c>
      <c r="H48" s="491">
        <v>21251.45</v>
      </c>
      <c r="I48" s="493">
        <v>30709.81</v>
      </c>
      <c r="J48" s="495">
        <v>8712.61</v>
      </c>
      <c r="K48" s="499">
        <f>13359.23+16385.22</f>
        <v>29744.45</v>
      </c>
      <c r="L48" s="502">
        <v>20244.03</v>
      </c>
      <c r="M48" s="491">
        <v>17760.919999999998</v>
      </c>
      <c r="N48" s="491">
        <v>20557</v>
      </c>
      <c r="O48" s="519">
        <v>27316.79</v>
      </c>
      <c r="P48" s="522">
        <v>23430.51</v>
      </c>
      <c r="Q48" s="480">
        <v>23126.04</v>
      </c>
      <c r="R48" s="412">
        <f t="shared" si="4"/>
        <v>268870.35000000003</v>
      </c>
      <c r="S48" s="456">
        <f t="shared" si="5"/>
        <v>44811.725000000006</v>
      </c>
      <c r="U48" s="9">
        <f t="shared" si="20"/>
        <v>0</v>
      </c>
      <c r="V48" s="9">
        <f t="shared" si="19"/>
        <v>0</v>
      </c>
      <c r="W48" s="9">
        <f t="shared" si="19"/>
        <v>0</v>
      </c>
      <c r="X48" s="9">
        <f t="shared" si="19"/>
        <v>0</v>
      </c>
      <c r="Y48" s="9">
        <f t="shared" si="19"/>
        <v>0</v>
      </c>
      <c r="Z48" s="9">
        <f t="shared" si="19"/>
        <v>0</v>
      </c>
      <c r="AA48" s="9">
        <f t="shared" si="19"/>
        <v>0</v>
      </c>
      <c r="AB48" s="9">
        <f t="shared" si="19"/>
        <v>0</v>
      </c>
      <c r="AC48" s="9">
        <f t="shared" si="19"/>
        <v>268870.35000000003</v>
      </c>
      <c r="AD48" s="9">
        <f t="shared" si="19"/>
        <v>0</v>
      </c>
      <c r="AE48" s="9">
        <f t="shared" si="19"/>
        <v>0</v>
      </c>
      <c r="AF48" s="9">
        <f t="shared" si="19"/>
        <v>0</v>
      </c>
      <c r="AG48" s="9">
        <f t="shared" si="19"/>
        <v>0</v>
      </c>
      <c r="AH48" s="9">
        <f t="shared" si="19"/>
        <v>0</v>
      </c>
      <c r="AI48" s="9">
        <f t="shared" si="19"/>
        <v>0</v>
      </c>
      <c r="AJ48" s="365">
        <f t="shared" si="7"/>
        <v>268870.35000000003</v>
      </c>
      <c r="AK48" s="460">
        <f t="shared" si="8"/>
        <v>268768.35000000003</v>
      </c>
    </row>
    <row r="49" spans="1:37" ht="14">
      <c r="A49" s="402" t="s">
        <v>530</v>
      </c>
      <c r="B49" s="403">
        <v>15071136</v>
      </c>
      <c r="C49" s="403">
        <v>106</v>
      </c>
      <c r="D49" s="402"/>
      <c r="E49" s="402" t="s">
        <v>968</v>
      </c>
      <c r="F49" s="483">
        <v>26299.21</v>
      </c>
      <c r="G49" s="488">
        <v>24906.25</v>
      </c>
      <c r="H49" s="493">
        <v>26552.89</v>
      </c>
      <c r="I49" s="493">
        <v>35304.32</v>
      </c>
      <c r="J49" s="495">
        <v>21144.17</v>
      </c>
      <c r="K49" s="499">
        <v>18196.439999999999</v>
      </c>
      <c r="L49" s="502">
        <v>15450.87</v>
      </c>
      <c r="M49" s="504">
        <v>15737.07</v>
      </c>
      <c r="N49" s="491">
        <v>23392.68</v>
      </c>
      <c r="O49" s="519">
        <v>28769.87</v>
      </c>
      <c r="P49" s="522">
        <v>24438.09</v>
      </c>
      <c r="Q49" s="480">
        <v>25433.66</v>
      </c>
      <c r="R49" s="412">
        <f t="shared" si="4"/>
        <v>285625.52</v>
      </c>
      <c r="S49" s="456">
        <f t="shared" si="5"/>
        <v>47604.253333333334</v>
      </c>
      <c r="U49" s="9">
        <f t="shared" si="20"/>
        <v>0</v>
      </c>
      <c r="V49" s="9">
        <f t="shared" si="19"/>
        <v>0</v>
      </c>
      <c r="W49" s="9">
        <f t="shared" si="19"/>
        <v>0</v>
      </c>
      <c r="X49" s="9">
        <f t="shared" si="19"/>
        <v>0</v>
      </c>
      <c r="Y49" s="9">
        <f t="shared" si="19"/>
        <v>0</v>
      </c>
      <c r="Z49" s="9">
        <f t="shared" si="19"/>
        <v>285625.52</v>
      </c>
      <c r="AA49" s="9">
        <f t="shared" si="19"/>
        <v>0</v>
      </c>
      <c r="AB49" s="9">
        <f t="shared" si="19"/>
        <v>0</v>
      </c>
      <c r="AC49" s="9">
        <f t="shared" si="19"/>
        <v>0</v>
      </c>
      <c r="AD49" s="9">
        <f t="shared" si="19"/>
        <v>0</v>
      </c>
      <c r="AE49" s="9">
        <f t="shared" si="19"/>
        <v>0</v>
      </c>
      <c r="AF49" s="9">
        <f t="shared" si="19"/>
        <v>0</v>
      </c>
      <c r="AG49" s="9">
        <f t="shared" si="19"/>
        <v>0</v>
      </c>
      <c r="AH49" s="9">
        <f t="shared" si="19"/>
        <v>0</v>
      </c>
      <c r="AI49" s="9">
        <f t="shared" si="19"/>
        <v>0</v>
      </c>
      <c r="AJ49" s="365">
        <f t="shared" si="7"/>
        <v>285625.52</v>
      </c>
      <c r="AK49" s="460">
        <f t="shared" si="8"/>
        <v>285519.52</v>
      </c>
    </row>
    <row r="50" spans="1:37" ht="14">
      <c r="A50" s="402" t="s">
        <v>1000</v>
      </c>
      <c r="B50" s="403">
        <v>15074617</v>
      </c>
      <c r="C50" s="403"/>
      <c r="D50" s="402"/>
      <c r="E50" s="402" t="s">
        <v>977</v>
      </c>
      <c r="F50" s="490"/>
      <c r="G50" s="487"/>
      <c r="H50" s="487"/>
      <c r="I50" s="487"/>
      <c r="J50" s="487"/>
      <c r="K50" s="499">
        <v>2490.9299999999998</v>
      </c>
      <c r="L50" s="502">
        <v>3188.98</v>
      </c>
      <c r="M50" s="504">
        <v>4478.6400000000003</v>
      </c>
      <c r="N50" s="491">
        <v>9631.24</v>
      </c>
      <c r="O50" s="519">
        <v>21962.2</v>
      </c>
      <c r="P50" s="522">
        <v>20039.099999999999</v>
      </c>
      <c r="Q50" s="480">
        <v>21134.38</v>
      </c>
      <c r="R50" s="412">
        <f t="shared" si="4"/>
        <v>82925.47</v>
      </c>
      <c r="S50" s="456">
        <f>+R50/$S$2</f>
        <v>13820.911666666667</v>
      </c>
      <c r="U50" s="9">
        <f t="shared" si="20"/>
        <v>0</v>
      </c>
      <c r="V50" s="9">
        <f t="shared" ref="V50:AI65" si="21">+IF($A50=V$3,$R50,0)</f>
        <v>0</v>
      </c>
      <c r="W50" s="9">
        <f t="shared" si="21"/>
        <v>0</v>
      </c>
      <c r="X50" s="9">
        <f t="shared" si="21"/>
        <v>0</v>
      </c>
      <c r="Y50" s="9">
        <f t="shared" si="21"/>
        <v>0</v>
      </c>
      <c r="Z50" s="9">
        <f t="shared" si="21"/>
        <v>0</v>
      </c>
      <c r="AA50" s="9">
        <f t="shared" si="21"/>
        <v>0</v>
      </c>
      <c r="AB50" s="9">
        <f t="shared" si="21"/>
        <v>0</v>
      </c>
      <c r="AC50" s="9">
        <f t="shared" si="21"/>
        <v>0</v>
      </c>
      <c r="AD50" s="9">
        <f t="shared" si="21"/>
        <v>0</v>
      </c>
      <c r="AE50" s="9">
        <f t="shared" si="21"/>
        <v>0</v>
      </c>
      <c r="AF50" s="9">
        <f t="shared" si="21"/>
        <v>0</v>
      </c>
      <c r="AG50" s="9">
        <f t="shared" si="21"/>
        <v>0</v>
      </c>
      <c r="AH50" s="9">
        <f t="shared" si="21"/>
        <v>82925.47</v>
      </c>
      <c r="AI50" s="9">
        <f t="shared" si="21"/>
        <v>0</v>
      </c>
      <c r="AJ50" s="365">
        <f t="shared" si="7"/>
        <v>82925.47</v>
      </c>
      <c r="AK50" s="460">
        <f t="shared" si="8"/>
        <v>82925.47</v>
      </c>
    </row>
    <row r="51" spans="1:37" ht="14">
      <c r="A51" s="402" t="s">
        <v>1000</v>
      </c>
      <c r="B51" s="403">
        <v>15055279</v>
      </c>
      <c r="C51" s="403"/>
      <c r="D51" s="402"/>
      <c r="E51" s="402" t="s">
        <v>708</v>
      </c>
      <c r="F51" s="490"/>
      <c r="G51" s="487"/>
      <c r="H51" s="487"/>
      <c r="I51" s="487"/>
      <c r="J51" s="499">
        <v>2013.64</v>
      </c>
      <c r="K51" s="487"/>
      <c r="L51" s="487"/>
      <c r="M51" s="487"/>
      <c r="N51" s="487"/>
      <c r="O51" s="487"/>
      <c r="P51" s="487"/>
      <c r="Q51" s="487"/>
      <c r="R51" s="412">
        <f t="shared" si="4"/>
        <v>2013.64</v>
      </c>
      <c r="S51" s="456">
        <f t="shared" si="5"/>
        <v>335.60666666666668</v>
      </c>
      <c r="U51" s="9">
        <f t="shared" si="20"/>
        <v>0</v>
      </c>
      <c r="V51" s="9">
        <f t="shared" si="21"/>
        <v>0</v>
      </c>
      <c r="W51" s="9">
        <f t="shared" si="21"/>
        <v>0</v>
      </c>
      <c r="X51" s="9">
        <f t="shared" si="21"/>
        <v>0</v>
      </c>
      <c r="Y51" s="9">
        <f t="shared" si="21"/>
        <v>0</v>
      </c>
      <c r="Z51" s="9">
        <f t="shared" si="21"/>
        <v>0</v>
      </c>
      <c r="AA51" s="9">
        <f t="shared" si="21"/>
        <v>0</v>
      </c>
      <c r="AB51" s="9">
        <f t="shared" si="21"/>
        <v>0</v>
      </c>
      <c r="AC51" s="9">
        <f t="shared" si="21"/>
        <v>0</v>
      </c>
      <c r="AD51" s="9">
        <f t="shared" si="21"/>
        <v>0</v>
      </c>
      <c r="AE51" s="9">
        <f t="shared" si="21"/>
        <v>0</v>
      </c>
      <c r="AF51" s="9">
        <f t="shared" si="21"/>
        <v>0</v>
      </c>
      <c r="AG51" s="9">
        <f t="shared" si="21"/>
        <v>0</v>
      </c>
      <c r="AH51" s="9">
        <f t="shared" si="21"/>
        <v>2013.64</v>
      </c>
      <c r="AI51" s="9">
        <f t="shared" si="21"/>
        <v>0</v>
      </c>
      <c r="AJ51" s="365">
        <f t="shared" si="7"/>
        <v>2013.64</v>
      </c>
      <c r="AK51" s="460">
        <f t="shared" si="8"/>
        <v>2013.64</v>
      </c>
    </row>
    <row r="52" spans="1:37" ht="14">
      <c r="A52" s="402" t="s">
        <v>658</v>
      </c>
      <c r="B52" s="403">
        <v>15073651</v>
      </c>
      <c r="C52" s="403">
        <v>91</v>
      </c>
      <c r="D52" s="402" t="s">
        <v>516</v>
      </c>
      <c r="E52" s="402" t="s">
        <v>516</v>
      </c>
      <c r="F52" s="483">
        <v>23873.37</v>
      </c>
      <c r="G52" s="488">
        <v>21208.78</v>
      </c>
      <c r="H52" s="493">
        <v>6645.85</v>
      </c>
      <c r="I52" s="493">
        <v>27670.09</v>
      </c>
      <c r="J52" s="495">
        <f>18905.69+20016.01</f>
        <v>38921.699999999997</v>
      </c>
      <c r="K52" s="499">
        <v>16125.72</v>
      </c>
      <c r="L52" s="502">
        <v>15724.91</v>
      </c>
      <c r="M52" s="504">
        <v>18141.29</v>
      </c>
      <c r="N52" s="491">
        <v>22251.05</v>
      </c>
      <c r="O52" s="519">
        <v>28109.19</v>
      </c>
      <c r="P52" s="522">
        <v>25202.080000000002</v>
      </c>
      <c r="Q52" s="480">
        <v>25770.55</v>
      </c>
      <c r="R52" s="412">
        <f t="shared" si="4"/>
        <v>269644.57999999996</v>
      </c>
      <c r="S52" s="456">
        <f t="shared" si="5"/>
        <v>44940.763333333329</v>
      </c>
      <c r="U52" s="9">
        <f t="shared" si="20"/>
        <v>0</v>
      </c>
      <c r="V52" s="9">
        <f t="shared" si="21"/>
        <v>0</v>
      </c>
      <c r="W52" s="9">
        <f t="shared" si="21"/>
        <v>0</v>
      </c>
      <c r="X52" s="9">
        <f t="shared" si="21"/>
        <v>0</v>
      </c>
      <c r="Y52" s="9">
        <f t="shared" si="21"/>
        <v>0</v>
      </c>
      <c r="Z52" s="9">
        <f t="shared" si="21"/>
        <v>0</v>
      </c>
      <c r="AA52" s="9">
        <f t="shared" si="21"/>
        <v>0</v>
      </c>
      <c r="AB52" s="9">
        <f t="shared" si="21"/>
        <v>0</v>
      </c>
      <c r="AC52" s="9">
        <f t="shared" si="21"/>
        <v>269644.57999999996</v>
      </c>
      <c r="AD52" s="9">
        <f t="shared" si="21"/>
        <v>0</v>
      </c>
      <c r="AE52" s="9">
        <f t="shared" si="21"/>
        <v>0</v>
      </c>
      <c r="AF52" s="9">
        <f t="shared" si="21"/>
        <v>0</v>
      </c>
      <c r="AG52" s="9">
        <f t="shared" si="21"/>
        <v>0</v>
      </c>
      <c r="AH52" s="9">
        <f t="shared" si="21"/>
        <v>0</v>
      </c>
      <c r="AI52" s="9">
        <f t="shared" si="21"/>
        <v>0</v>
      </c>
      <c r="AJ52" s="365">
        <f t="shared" si="7"/>
        <v>269644.57999999996</v>
      </c>
      <c r="AK52" s="460">
        <f t="shared" si="8"/>
        <v>269553.57999999996</v>
      </c>
    </row>
    <row r="53" spans="1:37" ht="14">
      <c r="A53" s="402" t="s">
        <v>530</v>
      </c>
      <c r="B53" s="403">
        <v>15037322</v>
      </c>
      <c r="C53" s="403">
        <v>91</v>
      </c>
      <c r="D53" s="402" t="s">
        <v>646</v>
      </c>
      <c r="E53" s="402" t="s">
        <v>623</v>
      </c>
      <c r="F53" s="483">
        <v>22531.23</v>
      </c>
      <c r="G53" s="488">
        <v>17682.849999999999</v>
      </c>
      <c r="H53" s="491">
        <v>19963.41</v>
      </c>
      <c r="I53" s="493">
        <v>22277.29</v>
      </c>
      <c r="J53" s="499">
        <v>12797.24</v>
      </c>
      <c r="K53" s="499">
        <v>10503.93</v>
      </c>
      <c r="L53" s="502">
        <v>8418.58</v>
      </c>
      <c r="M53" s="504">
        <v>7319.48</v>
      </c>
      <c r="N53" s="471">
        <v>12628.07</v>
      </c>
      <c r="O53" s="519">
        <v>17453.03</v>
      </c>
      <c r="P53" s="522">
        <v>14775.61</v>
      </c>
      <c r="Q53" s="480">
        <v>18537.91</v>
      </c>
      <c r="R53" s="412">
        <f t="shared" si="4"/>
        <v>184888.63000000003</v>
      </c>
      <c r="S53" s="456">
        <f t="shared" si="5"/>
        <v>30814.771666666671</v>
      </c>
      <c r="U53" s="9">
        <f t="shared" si="20"/>
        <v>0</v>
      </c>
      <c r="V53" s="9">
        <f t="shared" si="21"/>
        <v>0</v>
      </c>
      <c r="W53" s="9">
        <f t="shared" si="21"/>
        <v>0</v>
      </c>
      <c r="X53" s="9">
        <f t="shared" si="21"/>
        <v>0</v>
      </c>
      <c r="Y53" s="9">
        <f t="shared" si="21"/>
        <v>0</v>
      </c>
      <c r="Z53" s="9">
        <f t="shared" si="21"/>
        <v>184888.63000000003</v>
      </c>
      <c r="AA53" s="9">
        <f t="shared" si="21"/>
        <v>0</v>
      </c>
      <c r="AB53" s="9">
        <f t="shared" si="21"/>
        <v>0</v>
      </c>
      <c r="AC53" s="9">
        <f t="shared" si="21"/>
        <v>0</v>
      </c>
      <c r="AD53" s="9">
        <f t="shared" si="21"/>
        <v>0</v>
      </c>
      <c r="AE53" s="9">
        <f t="shared" si="21"/>
        <v>0</v>
      </c>
      <c r="AF53" s="9">
        <f t="shared" si="21"/>
        <v>0</v>
      </c>
      <c r="AG53" s="9">
        <f t="shared" si="21"/>
        <v>0</v>
      </c>
      <c r="AH53" s="9">
        <f t="shared" si="21"/>
        <v>0</v>
      </c>
      <c r="AI53" s="9">
        <f t="shared" si="21"/>
        <v>0</v>
      </c>
      <c r="AJ53" s="365">
        <f t="shared" si="7"/>
        <v>184888.63000000003</v>
      </c>
      <c r="AK53" s="460">
        <f t="shared" si="8"/>
        <v>184797.63000000003</v>
      </c>
    </row>
    <row r="54" spans="1:37" ht="14">
      <c r="A54" s="402" t="s">
        <v>1000</v>
      </c>
      <c r="B54" s="403">
        <v>15068521</v>
      </c>
      <c r="C54" s="403"/>
      <c r="D54" s="402" t="s">
        <v>646</v>
      </c>
      <c r="E54" s="402" t="s">
        <v>966</v>
      </c>
      <c r="F54" s="483">
        <v>133.54</v>
      </c>
      <c r="G54" s="488">
        <v>187.51</v>
      </c>
      <c r="H54" s="491">
        <v>155.47</v>
      </c>
      <c r="I54" s="493">
        <v>126.57</v>
      </c>
      <c r="J54" s="495">
        <v>235.11</v>
      </c>
      <c r="K54" s="487"/>
      <c r="L54" s="487"/>
      <c r="M54" s="487"/>
      <c r="N54" s="487"/>
      <c r="O54" s="487"/>
      <c r="P54" s="487"/>
      <c r="Q54" s="487"/>
      <c r="R54" s="412">
        <f t="shared" si="4"/>
        <v>838.19999999999993</v>
      </c>
      <c r="S54" s="456">
        <f t="shared" si="5"/>
        <v>139.69999999999999</v>
      </c>
      <c r="U54" s="9">
        <f t="shared" si="20"/>
        <v>0</v>
      </c>
      <c r="V54" s="9">
        <f t="shared" si="21"/>
        <v>0</v>
      </c>
      <c r="W54" s="9">
        <f t="shared" si="21"/>
        <v>0</v>
      </c>
      <c r="X54" s="9">
        <f t="shared" si="21"/>
        <v>0</v>
      </c>
      <c r="Y54" s="9">
        <f t="shared" si="21"/>
        <v>0</v>
      </c>
      <c r="Z54" s="9">
        <f t="shared" si="21"/>
        <v>0</v>
      </c>
      <c r="AA54" s="9">
        <f t="shared" si="21"/>
        <v>0</v>
      </c>
      <c r="AB54" s="9">
        <f t="shared" si="21"/>
        <v>0</v>
      </c>
      <c r="AC54" s="9">
        <f t="shared" si="21"/>
        <v>0</v>
      </c>
      <c r="AD54" s="9">
        <f t="shared" si="21"/>
        <v>0</v>
      </c>
      <c r="AE54" s="9">
        <f t="shared" si="21"/>
        <v>0</v>
      </c>
      <c r="AF54" s="9">
        <f t="shared" si="21"/>
        <v>0</v>
      </c>
      <c r="AG54" s="9">
        <f t="shared" si="21"/>
        <v>0</v>
      </c>
      <c r="AH54" s="9">
        <f t="shared" si="21"/>
        <v>838.19999999999993</v>
      </c>
      <c r="AI54" s="9">
        <f t="shared" si="21"/>
        <v>0</v>
      </c>
      <c r="AJ54" s="365">
        <f t="shared" si="7"/>
        <v>838.19999999999993</v>
      </c>
      <c r="AK54" s="460">
        <f t="shared" si="8"/>
        <v>838.19999999999993</v>
      </c>
    </row>
    <row r="55" spans="1:37" ht="14">
      <c r="A55" s="402" t="s">
        <v>530</v>
      </c>
      <c r="B55" s="403">
        <v>15062439</v>
      </c>
      <c r="C55" s="403">
        <v>127</v>
      </c>
      <c r="D55" s="402" t="s">
        <v>604</v>
      </c>
      <c r="E55" s="402" t="s">
        <v>325</v>
      </c>
      <c r="F55" s="483">
        <v>25090.36</v>
      </c>
      <c r="G55" s="488">
        <v>22233.25</v>
      </c>
      <c r="H55" s="491">
        <v>20958.599999999999</v>
      </c>
      <c r="I55" s="493">
        <v>27409.599999999999</v>
      </c>
      <c r="J55" s="499">
        <v>19125.63</v>
      </c>
      <c r="K55" s="499">
        <v>16427.54</v>
      </c>
      <c r="L55" s="502">
        <v>11320.58</v>
      </c>
      <c r="M55" s="504">
        <v>12621.2</v>
      </c>
      <c r="N55" s="519">
        <v>17273.77</v>
      </c>
      <c r="O55" s="519">
        <v>29554.91</v>
      </c>
      <c r="P55" s="522">
        <v>25678.05</v>
      </c>
      <c r="Q55" s="480">
        <v>27417.279999999999</v>
      </c>
      <c r="R55" s="412">
        <f t="shared" si="4"/>
        <v>255110.77</v>
      </c>
      <c r="S55" s="456">
        <f t="shared" si="5"/>
        <v>42518.461666666662</v>
      </c>
      <c r="U55" s="9">
        <f t="shared" si="20"/>
        <v>0</v>
      </c>
      <c r="V55" s="9">
        <f t="shared" si="21"/>
        <v>0</v>
      </c>
      <c r="W55" s="9">
        <f t="shared" si="21"/>
        <v>0</v>
      </c>
      <c r="X55" s="9">
        <f t="shared" si="21"/>
        <v>0</v>
      </c>
      <c r="Y55" s="9">
        <f t="shared" si="21"/>
        <v>0</v>
      </c>
      <c r="Z55" s="9">
        <f t="shared" si="21"/>
        <v>255110.77</v>
      </c>
      <c r="AA55" s="9">
        <f t="shared" si="21"/>
        <v>0</v>
      </c>
      <c r="AB55" s="9">
        <f t="shared" si="21"/>
        <v>0</v>
      </c>
      <c r="AC55" s="9">
        <f t="shared" si="21"/>
        <v>0</v>
      </c>
      <c r="AD55" s="9">
        <f t="shared" si="21"/>
        <v>0</v>
      </c>
      <c r="AE55" s="9">
        <f t="shared" si="21"/>
        <v>0</v>
      </c>
      <c r="AF55" s="9">
        <f t="shared" si="21"/>
        <v>0</v>
      </c>
      <c r="AG55" s="9">
        <f t="shared" si="21"/>
        <v>0</v>
      </c>
      <c r="AH55" s="9">
        <f t="shared" si="21"/>
        <v>0</v>
      </c>
      <c r="AI55" s="9">
        <f t="shared" si="21"/>
        <v>0</v>
      </c>
      <c r="AJ55" s="365">
        <f t="shared" si="7"/>
        <v>255110.77</v>
      </c>
      <c r="AK55" s="460">
        <f t="shared" si="8"/>
        <v>254983.77</v>
      </c>
    </row>
    <row r="56" spans="1:37" ht="14">
      <c r="A56" s="402" t="s">
        <v>531</v>
      </c>
      <c r="B56" s="403">
        <v>15035829</v>
      </c>
      <c r="C56" s="403">
        <v>366</v>
      </c>
      <c r="D56" s="402" t="s">
        <v>567</v>
      </c>
      <c r="E56" s="402" t="s">
        <v>253</v>
      </c>
      <c r="F56" s="483">
        <v>43253.52</v>
      </c>
      <c r="G56" s="488">
        <v>52341.65</v>
      </c>
      <c r="H56" s="491">
        <v>59107.96</v>
      </c>
      <c r="I56" s="493">
        <v>85833.11</v>
      </c>
      <c r="J56" s="495">
        <v>63711.199999999997</v>
      </c>
      <c r="K56" s="499">
        <v>56239.31</v>
      </c>
      <c r="L56" s="502">
        <v>45708.1</v>
      </c>
      <c r="M56" s="504">
        <v>52576.24</v>
      </c>
      <c r="N56" s="491">
        <v>75150.720000000001</v>
      </c>
      <c r="O56" s="519">
        <v>99787.08</v>
      </c>
      <c r="P56" s="522">
        <v>88042.49</v>
      </c>
      <c r="Q56" s="480">
        <v>80518.36</v>
      </c>
      <c r="R56" s="412">
        <f t="shared" si="4"/>
        <v>802269.73999999987</v>
      </c>
      <c r="S56" s="456">
        <f t="shared" si="5"/>
        <v>133711.62333333332</v>
      </c>
      <c r="U56" s="9">
        <f t="shared" si="20"/>
        <v>0</v>
      </c>
      <c r="V56" s="9">
        <f t="shared" si="21"/>
        <v>0</v>
      </c>
      <c r="W56" s="9">
        <f t="shared" si="21"/>
        <v>0</v>
      </c>
      <c r="X56" s="9">
        <f t="shared" si="21"/>
        <v>802269.73999999987</v>
      </c>
      <c r="Y56" s="9">
        <f t="shared" si="21"/>
        <v>0</v>
      </c>
      <c r="Z56" s="9">
        <f t="shared" si="21"/>
        <v>0</v>
      </c>
      <c r="AA56" s="9">
        <f t="shared" si="21"/>
        <v>0</v>
      </c>
      <c r="AB56" s="9">
        <f t="shared" si="21"/>
        <v>0</v>
      </c>
      <c r="AC56" s="9">
        <f t="shared" si="21"/>
        <v>0</v>
      </c>
      <c r="AD56" s="9">
        <f t="shared" si="21"/>
        <v>0</v>
      </c>
      <c r="AE56" s="9">
        <f t="shared" si="21"/>
        <v>0</v>
      </c>
      <c r="AF56" s="9">
        <f t="shared" si="21"/>
        <v>0</v>
      </c>
      <c r="AG56" s="9">
        <f t="shared" si="21"/>
        <v>0</v>
      </c>
      <c r="AH56" s="9">
        <f t="shared" si="21"/>
        <v>0</v>
      </c>
      <c r="AI56" s="9">
        <f t="shared" si="21"/>
        <v>0</v>
      </c>
      <c r="AJ56" s="365">
        <f t="shared" si="7"/>
        <v>802269.73999999987</v>
      </c>
      <c r="AK56" s="460">
        <f t="shared" si="8"/>
        <v>801903.73999999987</v>
      </c>
    </row>
    <row r="57" spans="1:37" ht="14">
      <c r="A57" s="402" t="s">
        <v>1000</v>
      </c>
      <c r="B57" s="403">
        <v>15005197</v>
      </c>
      <c r="C57" s="403"/>
      <c r="D57" s="402"/>
      <c r="E57" s="402" t="s">
        <v>941</v>
      </c>
      <c r="F57" s="490"/>
      <c r="G57" s="488">
        <v>545.64</v>
      </c>
      <c r="H57" s="491">
        <v>87.26</v>
      </c>
      <c r="I57" s="493">
        <f>278.86+1101.47</f>
        <v>1380.33</v>
      </c>
      <c r="J57" s="495">
        <v>1194.79</v>
      </c>
      <c r="K57" s="499">
        <v>120.75</v>
      </c>
      <c r="L57" s="487"/>
      <c r="M57" s="487"/>
      <c r="N57" s="487"/>
      <c r="O57" s="487"/>
      <c r="P57" s="487"/>
      <c r="Q57" s="487"/>
      <c r="R57" s="412">
        <f t="shared" si="4"/>
        <v>3328.77</v>
      </c>
      <c r="S57" s="456">
        <f t="shared" si="5"/>
        <v>554.79499999999996</v>
      </c>
      <c r="U57" s="9">
        <f t="shared" si="20"/>
        <v>0</v>
      </c>
      <c r="V57" s="9">
        <f t="shared" si="21"/>
        <v>0</v>
      </c>
      <c r="W57" s="9">
        <f t="shared" si="21"/>
        <v>0</v>
      </c>
      <c r="X57" s="9">
        <f t="shared" si="21"/>
        <v>0</v>
      </c>
      <c r="Y57" s="9">
        <f t="shared" si="21"/>
        <v>0</v>
      </c>
      <c r="Z57" s="9">
        <f t="shared" si="21"/>
        <v>0</v>
      </c>
      <c r="AA57" s="9">
        <f t="shared" si="21"/>
        <v>0</v>
      </c>
      <c r="AB57" s="9">
        <f t="shared" si="21"/>
        <v>0</v>
      </c>
      <c r="AC57" s="9">
        <f t="shared" si="21"/>
        <v>0</v>
      </c>
      <c r="AD57" s="9">
        <f t="shared" si="21"/>
        <v>0</v>
      </c>
      <c r="AE57" s="9">
        <f t="shared" si="21"/>
        <v>0</v>
      </c>
      <c r="AF57" s="9">
        <f t="shared" si="21"/>
        <v>0</v>
      </c>
      <c r="AG57" s="9">
        <f t="shared" si="21"/>
        <v>0</v>
      </c>
      <c r="AH57" s="9">
        <f t="shared" si="21"/>
        <v>3328.77</v>
      </c>
      <c r="AI57" s="9">
        <f t="shared" si="21"/>
        <v>0</v>
      </c>
      <c r="AJ57" s="365">
        <f t="shared" si="7"/>
        <v>3328.77</v>
      </c>
      <c r="AK57" s="460">
        <f t="shared" si="8"/>
        <v>3328.77</v>
      </c>
    </row>
    <row r="58" spans="1:37" ht="14">
      <c r="A58" s="402" t="s">
        <v>1000</v>
      </c>
      <c r="B58" s="404">
        <v>15067792</v>
      </c>
      <c r="C58" s="404"/>
      <c r="D58" s="405"/>
      <c r="E58" s="405" t="s">
        <v>920</v>
      </c>
      <c r="F58" s="490"/>
      <c r="G58" s="487"/>
      <c r="H58" s="491">
        <v>73.64</v>
      </c>
      <c r="I58" s="493">
        <v>273.98</v>
      </c>
      <c r="J58" s="495">
        <v>212.05</v>
      </c>
      <c r="K58" s="487"/>
      <c r="L58" s="487"/>
      <c r="M58" s="487"/>
      <c r="N58" s="487"/>
      <c r="O58" s="487"/>
      <c r="P58" s="487"/>
      <c r="Q58" s="487"/>
      <c r="R58" s="412">
        <f t="shared" si="4"/>
        <v>559.67000000000007</v>
      </c>
      <c r="S58" s="456">
        <f t="shared" si="5"/>
        <v>93.27833333333335</v>
      </c>
      <c r="U58" s="9">
        <f t="shared" si="20"/>
        <v>0</v>
      </c>
      <c r="V58" s="9">
        <f t="shared" si="21"/>
        <v>0</v>
      </c>
      <c r="W58" s="9">
        <f t="shared" si="21"/>
        <v>0</v>
      </c>
      <c r="X58" s="9">
        <f t="shared" si="21"/>
        <v>0</v>
      </c>
      <c r="Y58" s="9">
        <f t="shared" si="21"/>
        <v>0</v>
      </c>
      <c r="Z58" s="9">
        <f t="shared" si="21"/>
        <v>0</v>
      </c>
      <c r="AA58" s="9">
        <f t="shared" si="21"/>
        <v>0</v>
      </c>
      <c r="AB58" s="9">
        <f t="shared" si="21"/>
        <v>0</v>
      </c>
      <c r="AC58" s="9">
        <f t="shared" si="21"/>
        <v>0</v>
      </c>
      <c r="AD58" s="9">
        <f t="shared" si="21"/>
        <v>0</v>
      </c>
      <c r="AE58" s="9">
        <f t="shared" si="21"/>
        <v>0</v>
      </c>
      <c r="AF58" s="9">
        <f t="shared" si="21"/>
        <v>0</v>
      </c>
      <c r="AG58" s="9">
        <f t="shared" si="21"/>
        <v>0</v>
      </c>
      <c r="AH58" s="9">
        <f t="shared" si="21"/>
        <v>559.67000000000007</v>
      </c>
      <c r="AI58" s="9">
        <f t="shared" si="21"/>
        <v>0</v>
      </c>
      <c r="AJ58" s="365">
        <f t="shared" si="7"/>
        <v>559.67000000000007</v>
      </c>
      <c r="AK58" s="460">
        <f t="shared" si="8"/>
        <v>559.67000000000007</v>
      </c>
    </row>
    <row r="59" spans="1:37" ht="14">
      <c r="A59" s="402" t="s">
        <v>1000</v>
      </c>
      <c r="B59" s="403">
        <v>15033786</v>
      </c>
      <c r="C59" s="403"/>
      <c r="D59" s="402"/>
      <c r="E59" s="402" t="s">
        <v>914</v>
      </c>
      <c r="F59" s="483">
        <v>2227.5500000000002</v>
      </c>
      <c r="G59" s="491">
        <v>1906.98</v>
      </c>
      <c r="H59" s="491">
        <v>2360.88</v>
      </c>
      <c r="I59" s="495">
        <v>3255.5</v>
      </c>
      <c r="J59" s="495">
        <v>1224.04</v>
      </c>
      <c r="K59" s="479"/>
      <c r="L59" s="479"/>
      <c r="M59" s="479"/>
      <c r="N59" s="491">
        <v>1102.8800000000001</v>
      </c>
      <c r="O59" s="524">
        <v>2870.88</v>
      </c>
      <c r="P59" s="524">
        <v>3070.63</v>
      </c>
      <c r="Q59" s="480">
        <v>1374.45</v>
      </c>
      <c r="R59" s="412">
        <f t="shared" si="4"/>
        <v>19393.790000000005</v>
      </c>
      <c r="S59" s="456">
        <f t="shared" si="5"/>
        <v>3232.2983333333341</v>
      </c>
      <c r="U59" s="9">
        <f t="shared" si="20"/>
        <v>0</v>
      </c>
      <c r="V59" s="9">
        <f t="shared" si="21"/>
        <v>0</v>
      </c>
      <c r="W59" s="9">
        <f t="shared" si="21"/>
        <v>0</v>
      </c>
      <c r="X59" s="9">
        <f t="shared" si="21"/>
        <v>0</v>
      </c>
      <c r="Y59" s="9">
        <f t="shared" si="21"/>
        <v>0</v>
      </c>
      <c r="Z59" s="9">
        <f t="shared" si="21"/>
        <v>0</v>
      </c>
      <c r="AA59" s="9">
        <f t="shared" si="21"/>
        <v>0</v>
      </c>
      <c r="AB59" s="9">
        <f t="shared" si="21"/>
        <v>0</v>
      </c>
      <c r="AC59" s="9">
        <f t="shared" si="21"/>
        <v>0</v>
      </c>
      <c r="AD59" s="9">
        <f t="shared" si="21"/>
        <v>0</v>
      </c>
      <c r="AE59" s="9">
        <f t="shared" si="21"/>
        <v>0</v>
      </c>
      <c r="AF59" s="9">
        <f t="shared" si="21"/>
        <v>0</v>
      </c>
      <c r="AG59" s="9">
        <f t="shared" si="21"/>
        <v>0</v>
      </c>
      <c r="AH59" s="9">
        <f t="shared" si="21"/>
        <v>19393.790000000005</v>
      </c>
      <c r="AI59" s="9">
        <f t="shared" si="21"/>
        <v>0</v>
      </c>
      <c r="AJ59" s="365">
        <f t="shared" si="7"/>
        <v>19393.790000000005</v>
      </c>
      <c r="AK59" s="460">
        <f t="shared" si="8"/>
        <v>19393.790000000005</v>
      </c>
    </row>
    <row r="60" spans="1:37" ht="14">
      <c r="A60" s="402" t="s">
        <v>535</v>
      </c>
      <c r="B60" s="403">
        <v>7002600</v>
      </c>
      <c r="C60" s="487"/>
      <c r="D60" s="402" t="s">
        <v>655</v>
      </c>
      <c r="E60" s="402" t="s">
        <v>806</v>
      </c>
      <c r="F60" s="482"/>
      <c r="G60" s="479"/>
      <c r="H60" s="487"/>
      <c r="I60" s="487"/>
      <c r="J60" s="487"/>
      <c r="K60" s="487"/>
      <c r="L60" s="487"/>
      <c r="M60" s="487"/>
      <c r="N60" s="487"/>
      <c r="O60" s="487"/>
      <c r="P60" s="487"/>
      <c r="Q60" s="487"/>
      <c r="R60" s="412">
        <f t="shared" si="4"/>
        <v>0</v>
      </c>
      <c r="S60" s="456">
        <f t="shared" si="5"/>
        <v>0</v>
      </c>
      <c r="U60" s="9">
        <f t="shared" si="20"/>
        <v>0</v>
      </c>
      <c r="V60" s="9">
        <f t="shared" si="21"/>
        <v>0</v>
      </c>
      <c r="W60" s="9">
        <f t="shared" si="21"/>
        <v>0</v>
      </c>
      <c r="X60" s="9">
        <f t="shared" si="21"/>
        <v>0</v>
      </c>
      <c r="Y60" s="9">
        <f t="shared" si="21"/>
        <v>0</v>
      </c>
      <c r="Z60" s="9">
        <f t="shared" si="21"/>
        <v>0</v>
      </c>
      <c r="AA60" s="9">
        <f t="shared" si="21"/>
        <v>0</v>
      </c>
      <c r="AB60" s="9">
        <f t="shared" si="21"/>
        <v>0</v>
      </c>
      <c r="AC60" s="9">
        <f t="shared" si="21"/>
        <v>0</v>
      </c>
      <c r="AD60" s="9">
        <f t="shared" si="21"/>
        <v>0</v>
      </c>
      <c r="AE60" s="9">
        <f t="shared" si="21"/>
        <v>0</v>
      </c>
      <c r="AF60" s="9">
        <f t="shared" si="21"/>
        <v>0</v>
      </c>
      <c r="AG60" s="9">
        <f t="shared" si="21"/>
        <v>0</v>
      </c>
      <c r="AH60" s="9">
        <f t="shared" si="21"/>
        <v>0</v>
      </c>
      <c r="AI60" s="9">
        <f t="shared" si="21"/>
        <v>0</v>
      </c>
      <c r="AJ60" s="365">
        <f t="shared" si="7"/>
        <v>0</v>
      </c>
      <c r="AK60" s="460">
        <f t="shared" si="8"/>
        <v>0</v>
      </c>
    </row>
    <row r="61" spans="1:37" ht="14">
      <c r="A61" s="402" t="s">
        <v>533</v>
      </c>
      <c r="B61" s="403">
        <v>7008200</v>
      </c>
      <c r="C61" s="403">
        <v>72</v>
      </c>
      <c r="D61" s="402" t="s">
        <v>347</v>
      </c>
      <c r="E61" s="402" t="s">
        <v>347</v>
      </c>
      <c r="F61" s="483">
        <v>13739.75</v>
      </c>
      <c r="G61" s="488">
        <v>11145.48</v>
      </c>
      <c r="H61" s="491">
        <v>11646.05</v>
      </c>
      <c r="I61" s="493">
        <v>13606.24</v>
      </c>
      <c r="J61" s="495">
        <v>11652.36</v>
      </c>
      <c r="K61" s="499">
        <v>9677.24</v>
      </c>
      <c r="L61" s="502">
        <v>9195.19</v>
      </c>
      <c r="M61" s="491">
        <v>8906.91</v>
      </c>
      <c r="N61" s="491">
        <v>12413.74</v>
      </c>
      <c r="O61" s="519">
        <v>15269.42</v>
      </c>
      <c r="P61" s="522">
        <v>13778.96</v>
      </c>
      <c r="Q61" s="480">
        <v>14703.5</v>
      </c>
      <c r="R61" s="412">
        <f t="shared" si="4"/>
        <v>145734.84</v>
      </c>
      <c r="S61" s="456">
        <f t="shared" si="5"/>
        <v>24289.14</v>
      </c>
      <c r="U61" s="9">
        <f t="shared" si="20"/>
        <v>0</v>
      </c>
      <c r="V61" s="9">
        <f t="shared" si="21"/>
        <v>0</v>
      </c>
      <c r="W61" s="9">
        <f t="shared" si="21"/>
        <v>0</v>
      </c>
      <c r="X61" s="9">
        <f t="shared" si="21"/>
        <v>0</v>
      </c>
      <c r="Y61" s="9">
        <f t="shared" si="21"/>
        <v>0</v>
      </c>
      <c r="Z61" s="9">
        <f t="shared" si="21"/>
        <v>0</v>
      </c>
      <c r="AA61" s="9">
        <f t="shared" si="21"/>
        <v>0</v>
      </c>
      <c r="AB61" s="9">
        <f t="shared" si="21"/>
        <v>0</v>
      </c>
      <c r="AC61" s="9">
        <f t="shared" si="21"/>
        <v>0</v>
      </c>
      <c r="AD61" s="9">
        <f t="shared" si="21"/>
        <v>145734.84</v>
      </c>
      <c r="AE61" s="9">
        <f t="shared" si="21"/>
        <v>0</v>
      </c>
      <c r="AF61" s="9">
        <f t="shared" si="21"/>
        <v>0</v>
      </c>
      <c r="AG61" s="9">
        <f t="shared" si="21"/>
        <v>0</v>
      </c>
      <c r="AH61" s="9">
        <f t="shared" si="21"/>
        <v>0</v>
      </c>
      <c r="AI61" s="9">
        <f t="shared" si="21"/>
        <v>0</v>
      </c>
      <c r="AJ61" s="365">
        <f t="shared" si="7"/>
        <v>145734.84</v>
      </c>
      <c r="AK61" s="460">
        <f t="shared" si="8"/>
        <v>145662.84</v>
      </c>
    </row>
    <row r="62" spans="1:37" ht="14">
      <c r="A62" s="402" t="s">
        <v>535</v>
      </c>
      <c r="B62" s="403">
        <v>15069022</v>
      </c>
      <c r="C62" s="403">
        <v>129</v>
      </c>
      <c r="D62" s="402"/>
      <c r="E62" s="402" t="s">
        <v>942</v>
      </c>
      <c r="F62" s="483">
        <v>12502.44</v>
      </c>
      <c r="G62" s="488">
        <v>16162.02</v>
      </c>
      <c r="H62" s="491">
        <v>13753.59</v>
      </c>
      <c r="I62" s="493">
        <v>19509.79</v>
      </c>
      <c r="J62" s="495">
        <f>11111.16</f>
        <v>11111.16</v>
      </c>
      <c r="K62" s="499">
        <v>5913.28</v>
      </c>
      <c r="L62" s="479">
        <v>6593.71</v>
      </c>
      <c r="M62" s="479">
        <v>5655.32</v>
      </c>
      <c r="N62" s="491">
        <f>7260.76+3486.58</f>
        <v>10747.34</v>
      </c>
      <c r="O62" s="519">
        <v>16845.18</v>
      </c>
      <c r="P62" s="522">
        <v>14092.98</v>
      </c>
      <c r="Q62" s="480">
        <v>12830.21</v>
      </c>
      <c r="R62" s="412">
        <f t="shared" si="4"/>
        <v>145717.01999999999</v>
      </c>
      <c r="S62" s="456">
        <f t="shared" si="5"/>
        <v>24286.17</v>
      </c>
      <c r="U62" s="9">
        <f t="shared" si="20"/>
        <v>0</v>
      </c>
      <c r="V62" s="9">
        <f t="shared" si="21"/>
        <v>0</v>
      </c>
      <c r="W62" s="9">
        <f t="shared" si="21"/>
        <v>0</v>
      </c>
      <c r="X62" s="9">
        <f t="shared" si="21"/>
        <v>0</v>
      </c>
      <c r="Y62" s="9">
        <f t="shared" si="21"/>
        <v>0</v>
      </c>
      <c r="Z62" s="9">
        <f t="shared" si="21"/>
        <v>0</v>
      </c>
      <c r="AA62" s="9">
        <f t="shared" si="21"/>
        <v>0</v>
      </c>
      <c r="AB62" s="9">
        <f t="shared" si="21"/>
        <v>145717.01999999999</v>
      </c>
      <c r="AC62" s="9">
        <f t="shared" si="21"/>
        <v>0</v>
      </c>
      <c r="AD62" s="9">
        <f t="shared" si="21"/>
        <v>0</v>
      </c>
      <c r="AE62" s="9">
        <f t="shared" si="21"/>
        <v>0</v>
      </c>
      <c r="AF62" s="9">
        <f t="shared" si="21"/>
        <v>0</v>
      </c>
      <c r="AG62" s="9">
        <f t="shared" si="21"/>
        <v>0</v>
      </c>
      <c r="AH62" s="9">
        <f t="shared" si="21"/>
        <v>0</v>
      </c>
      <c r="AI62" s="9">
        <f t="shared" si="21"/>
        <v>0</v>
      </c>
      <c r="AJ62" s="365">
        <f t="shared" si="7"/>
        <v>145717.01999999999</v>
      </c>
      <c r="AK62" s="460">
        <f t="shared" si="8"/>
        <v>145588.01999999999</v>
      </c>
    </row>
    <row r="63" spans="1:37" ht="14">
      <c r="A63" s="402" t="s">
        <v>531</v>
      </c>
      <c r="B63" s="404">
        <v>15062715</v>
      </c>
      <c r="C63" s="404">
        <v>218</v>
      </c>
      <c r="D63" s="405"/>
      <c r="E63" s="405" t="s">
        <v>917</v>
      </c>
      <c r="F63" s="483">
        <v>69901.5</v>
      </c>
      <c r="G63" s="488">
        <v>71533.34</v>
      </c>
      <c r="H63" s="491">
        <v>71527.09</v>
      </c>
      <c r="I63" s="493">
        <v>91769.09</v>
      </c>
      <c r="J63" s="495">
        <v>59708.88</v>
      </c>
      <c r="K63" s="499">
        <v>50836.62</v>
      </c>
      <c r="L63" s="502">
        <v>45010.35</v>
      </c>
      <c r="M63" s="504">
        <v>56337.75</v>
      </c>
      <c r="N63" s="491">
        <v>69723.3</v>
      </c>
      <c r="O63" s="519">
        <v>94178.67</v>
      </c>
      <c r="P63" s="522">
        <v>91522.07</v>
      </c>
      <c r="Q63" s="480">
        <v>84729.07</v>
      </c>
      <c r="R63" s="412">
        <f t="shared" si="4"/>
        <v>856777.73000000021</v>
      </c>
      <c r="S63" s="456">
        <f t="shared" si="5"/>
        <v>142796.28833333336</v>
      </c>
      <c r="U63" s="9">
        <f t="shared" si="20"/>
        <v>0</v>
      </c>
      <c r="V63" s="9">
        <f t="shared" si="21"/>
        <v>0</v>
      </c>
      <c r="W63" s="9">
        <f t="shared" si="21"/>
        <v>0</v>
      </c>
      <c r="X63" s="9">
        <f t="shared" si="21"/>
        <v>856777.73000000021</v>
      </c>
      <c r="Y63" s="9">
        <f t="shared" si="21"/>
        <v>0</v>
      </c>
      <c r="Z63" s="9">
        <f t="shared" si="21"/>
        <v>0</v>
      </c>
      <c r="AA63" s="9">
        <f t="shared" si="21"/>
        <v>0</v>
      </c>
      <c r="AB63" s="9">
        <f t="shared" si="21"/>
        <v>0</v>
      </c>
      <c r="AC63" s="9">
        <f t="shared" si="21"/>
        <v>0</v>
      </c>
      <c r="AD63" s="9">
        <f t="shared" si="21"/>
        <v>0</v>
      </c>
      <c r="AE63" s="9">
        <f t="shared" si="21"/>
        <v>0</v>
      </c>
      <c r="AF63" s="9">
        <f t="shared" si="21"/>
        <v>0</v>
      </c>
      <c r="AG63" s="9">
        <f t="shared" si="21"/>
        <v>0</v>
      </c>
      <c r="AH63" s="9">
        <f t="shared" si="21"/>
        <v>0</v>
      </c>
      <c r="AI63" s="9">
        <f t="shared" si="21"/>
        <v>0</v>
      </c>
      <c r="AJ63" s="365">
        <f t="shared" si="7"/>
        <v>856777.73000000021</v>
      </c>
      <c r="AK63" s="460">
        <f t="shared" si="8"/>
        <v>856559.73000000021</v>
      </c>
    </row>
    <row r="64" spans="1:37" ht="14">
      <c r="A64" s="402" t="s">
        <v>531</v>
      </c>
      <c r="B64" s="404">
        <v>15065301</v>
      </c>
      <c r="C64" s="404">
        <v>119</v>
      </c>
      <c r="D64" s="405"/>
      <c r="E64" s="405" t="s">
        <v>918</v>
      </c>
      <c r="F64" s="483">
        <v>31146.13</v>
      </c>
      <c r="G64" s="488">
        <v>29009.54</v>
      </c>
      <c r="H64" s="491">
        <v>27138.85</v>
      </c>
      <c r="I64" s="493">
        <v>42538.3</v>
      </c>
      <c r="J64" s="495">
        <v>28909.07</v>
      </c>
      <c r="K64" s="499">
        <v>25667.85</v>
      </c>
      <c r="L64" s="502">
        <v>23197.03</v>
      </c>
      <c r="M64" s="504">
        <v>26734.99</v>
      </c>
      <c r="N64" s="491">
        <v>33196.879999999997</v>
      </c>
      <c r="O64" s="519">
        <v>42936.18</v>
      </c>
      <c r="P64" s="522">
        <v>39302.01</v>
      </c>
      <c r="Q64" s="480">
        <v>37636.36</v>
      </c>
      <c r="R64" s="412">
        <f t="shared" si="4"/>
        <v>387413.18999999994</v>
      </c>
      <c r="S64" s="456">
        <f t="shared" si="5"/>
        <v>64568.864999999991</v>
      </c>
      <c r="U64" s="9">
        <f t="shared" si="20"/>
        <v>0</v>
      </c>
      <c r="V64" s="9">
        <f t="shared" si="21"/>
        <v>0</v>
      </c>
      <c r="W64" s="9">
        <f t="shared" si="21"/>
        <v>0</v>
      </c>
      <c r="X64" s="9">
        <f t="shared" si="21"/>
        <v>387413.18999999994</v>
      </c>
      <c r="Y64" s="9">
        <f t="shared" si="21"/>
        <v>0</v>
      </c>
      <c r="Z64" s="9">
        <f t="shared" si="21"/>
        <v>0</v>
      </c>
      <c r="AA64" s="9">
        <f t="shared" si="21"/>
        <v>0</v>
      </c>
      <c r="AB64" s="9">
        <f t="shared" si="21"/>
        <v>0</v>
      </c>
      <c r="AC64" s="9">
        <f t="shared" si="21"/>
        <v>0</v>
      </c>
      <c r="AD64" s="9">
        <f t="shared" si="21"/>
        <v>0</v>
      </c>
      <c r="AE64" s="9">
        <f t="shared" si="21"/>
        <v>0</v>
      </c>
      <c r="AF64" s="9">
        <f t="shared" si="21"/>
        <v>0</v>
      </c>
      <c r="AG64" s="9">
        <f t="shared" si="21"/>
        <v>0</v>
      </c>
      <c r="AH64" s="9">
        <f t="shared" si="21"/>
        <v>0</v>
      </c>
      <c r="AI64" s="9">
        <f t="shared" si="21"/>
        <v>0</v>
      </c>
      <c r="AJ64" s="365">
        <f t="shared" si="7"/>
        <v>387413.18999999994</v>
      </c>
      <c r="AK64" s="460">
        <f t="shared" si="8"/>
        <v>387294.18999999994</v>
      </c>
    </row>
    <row r="65" spans="1:37" ht="14">
      <c r="A65" s="402" t="s">
        <v>537</v>
      </c>
      <c r="B65" s="403">
        <v>15073684</v>
      </c>
      <c r="C65" s="403">
        <v>67</v>
      </c>
      <c r="D65" s="402" t="s">
        <v>261</v>
      </c>
      <c r="E65" s="402" t="s">
        <v>971</v>
      </c>
      <c r="F65" s="486">
        <v>35214.230000000003</v>
      </c>
      <c r="G65" s="488">
        <v>4.0599999999999996</v>
      </c>
      <c r="H65" s="479"/>
      <c r="I65" s="479"/>
      <c r="J65" s="479"/>
      <c r="K65" s="479"/>
      <c r="L65" s="502">
        <v>5788.36</v>
      </c>
      <c r="M65" s="504">
        <v>8139.91</v>
      </c>
      <c r="N65" s="491">
        <v>12481.07</v>
      </c>
      <c r="O65" s="519">
        <v>17125.5</v>
      </c>
      <c r="P65" s="522">
        <v>13261.96</v>
      </c>
      <c r="Q65" s="480">
        <v>8089.21</v>
      </c>
      <c r="R65" s="412">
        <f t="shared" si="4"/>
        <v>100104.3</v>
      </c>
      <c r="S65" s="456">
        <f t="shared" si="5"/>
        <v>16684.05</v>
      </c>
      <c r="U65" s="9">
        <f t="shared" si="20"/>
        <v>0</v>
      </c>
      <c r="V65" s="9">
        <f t="shared" si="21"/>
        <v>100104.3</v>
      </c>
      <c r="W65" s="9">
        <f t="shared" si="21"/>
        <v>0</v>
      </c>
      <c r="X65" s="9">
        <f t="shared" si="21"/>
        <v>0</v>
      </c>
      <c r="Y65" s="9">
        <f t="shared" si="21"/>
        <v>0</v>
      </c>
      <c r="Z65" s="9">
        <f t="shared" si="21"/>
        <v>0</v>
      </c>
      <c r="AA65" s="9">
        <f t="shared" si="21"/>
        <v>0</v>
      </c>
      <c r="AB65" s="9">
        <f t="shared" si="21"/>
        <v>0</v>
      </c>
      <c r="AC65" s="9">
        <f t="shared" si="21"/>
        <v>0</v>
      </c>
      <c r="AD65" s="9">
        <f t="shared" si="21"/>
        <v>0</v>
      </c>
      <c r="AE65" s="9">
        <f t="shared" si="21"/>
        <v>0</v>
      </c>
      <c r="AF65" s="9">
        <f t="shared" si="21"/>
        <v>0</v>
      </c>
      <c r="AG65" s="9">
        <f t="shared" si="21"/>
        <v>0</v>
      </c>
      <c r="AH65" s="9">
        <f t="shared" si="21"/>
        <v>0</v>
      </c>
      <c r="AI65" s="9">
        <f t="shared" si="21"/>
        <v>0</v>
      </c>
      <c r="AJ65" s="365">
        <f t="shared" si="7"/>
        <v>100104.3</v>
      </c>
      <c r="AK65" s="460">
        <f t="shared" si="8"/>
        <v>100037.3</v>
      </c>
    </row>
    <row r="66" spans="1:37" ht="14">
      <c r="A66" s="402" t="s">
        <v>533</v>
      </c>
      <c r="B66" s="403">
        <v>7008700</v>
      </c>
      <c r="C66" s="403"/>
      <c r="D66" s="402" t="s">
        <v>109</v>
      </c>
      <c r="E66" s="402" t="s">
        <v>109</v>
      </c>
      <c r="F66" s="483">
        <v>298.02</v>
      </c>
      <c r="G66" s="488">
        <v>1179.5</v>
      </c>
      <c r="H66" s="491">
        <v>1020.46</v>
      </c>
      <c r="I66" s="493">
        <v>1311.51</v>
      </c>
      <c r="J66" s="495">
        <v>777.2</v>
      </c>
      <c r="K66" s="499">
        <v>565.86</v>
      </c>
      <c r="L66" s="502">
        <v>904.1</v>
      </c>
      <c r="M66" s="487"/>
      <c r="N66" s="491">
        <v>501.95</v>
      </c>
      <c r="O66" s="519">
        <v>850.64</v>
      </c>
      <c r="P66" s="522">
        <v>446.26</v>
      </c>
      <c r="Q66" s="480">
        <v>463.69</v>
      </c>
      <c r="R66" s="412">
        <f t="shared" si="4"/>
        <v>8319.19</v>
      </c>
      <c r="S66" s="456">
        <f t="shared" si="5"/>
        <v>1386.5316666666668</v>
      </c>
      <c r="U66" s="9">
        <f t="shared" si="20"/>
        <v>0</v>
      </c>
      <c r="V66" s="9">
        <f t="shared" ref="V66:AI68" si="22">+IF($A66=V$3,$R66,0)</f>
        <v>0</v>
      </c>
      <c r="W66" s="9">
        <f t="shared" si="22"/>
        <v>0</v>
      </c>
      <c r="X66" s="9">
        <f t="shared" si="22"/>
        <v>0</v>
      </c>
      <c r="Y66" s="9">
        <f t="shared" si="22"/>
        <v>0</v>
      </c>
      <c r="Z66" s="9">
        <f t="shared" si="22"/>
        <v>0</v>
      </c>
      <c r="AA66" s="9">
        <f t="shared" si="22"/>
        <v>0</v>
      </c>
      <c r="AB66" s="9">
        <f t="shared" si="22"/>
        <v>0</v>
      </c>
      <c r="AC66" s="9">
        <f t="shared" si="22"/>
        <v>0</v>
      </c>
      <c r="AD66" s="9">
        <f t="shared" si="22"/>
        <v>8319.19</v>
      </c>
      <c r="AE66" s="9">
        <f t="shared" si="22"/>
        <v>0</v>
      </c>
      <c r="AF66" s="9">
        <f t="shared" si="22"/>
        <v>0</v>
      </c>
      <c r="AG66" s="9">
        <f t="shared" si="22"/>
        <v>0</v>
      </c>
      <c r="AH66" s="9">
        <f t="shared" si="22"/>
        <v>0</v>
      </c>
      <c r="AI66" s="9">
        <f t="shared" si="22"/>
        <v>0</v>
      </c>
      <c r="AJ66" s="365">
        <f t="shared" si="7"/>
        <v>8319.19</v>
      </c>
      <c r="AK66" s="460">
        <f t="shared" si="8"/>
        <v>8319.19</v>
      </c>
    </row>
    <row r="67" spans="1:37" ht="14">
      <c r="A67" s="402" t="s">
        <v>1000</v>
      </c>
      <c r="B67" s="403">
        <v>7008800</v>
      </c>
      <c r="C67" s="403">
        <v>7</v>
      </c>
      <c r="D67" s="402" t="s">
        <v>88</v>
      </c>
      <c r="E67" s="402" t="s">
        <v>88</v>
      </c>
      <c r="F67" s="483">
        <v>1102.23</v>
      </c>
      <c r="G67" s="488">
        <v>784.03</v>
      </c>
      <c r="H67" s="491">
        <v>1824.75</v>
      </c>
      <c r="I67" s="493">
        <v>1505.49</v>
      </c>
      <c r="J67" s="495">
        <v>866.8</v>
      </c>
      <c r="K67" s="499">
        <v>399.91</v>
      </c>
      <c r="L67" s="502">
        <v>214.85</v>
      </c>
      <c r="M67" s="504">
        <v>505.16</v>
      </c>
      <c r="N67" s="491">
        <v>308.27999999999997</v>
      </c>
      <c r="O67" s="519">
        <v>1393.48</v>
      </c>
      <c r="P67" s="522">
        <v>1540.37</v>
      </c>
      <c r="Q67" s="480">
        <v>463.69</v>
      </c>
      <c r="R67" s="412">
        <f t="shared" si="4"/>
        <v>10909.039999999999</v>
      </c>
      <c r="S67" s="456">
        <f t="shared" si="5"/>
        <v>1818.1733333333332</v>
      </c>
      <c r="U67" s="9">
        <f t="shared" si="20"/>
        <v>0</v>
      </c>
      <c r="V67" s="9">
        <f t="shared" si="22"/>
        <v>0</v>
      </c>
      <c r="W67" s="9">
        <f t="shared" si="22"/>
        <v>0</v>
      </c>
      <c r="X67" s="9">
        <f t="shared" si="22"/>
        <v>0</v>
      </c>
      <c r="Y67" s="9">
        <f t="shared" si="22"/>
        <v>0</v>
      </c>
      <c r="Z67" s="9">
        <f t="shared" si="22"/>
        <v>0</v>
      </c>
      <c r="AA67" s="9">
        <f t="shared" si="22"/>
        <v>0</v>
      </c>
      <c r="AB67" s="9">
        <f t="shared" si="22"/>
        <v>0</v>
      </c>
      <c r="AC67" s="9">
        <f t="shared" si="22"/>
        <v>0</v>
      </c>
      <c r="AD67" s="9">
        <f t="shared" si="22"/>
        <v>0</v>
      </c>
      <c r="AE67" s="9">
        <f t="shared" si="22"/>
        <v>0</v>
      </c>
      <c r="AF67" s="9">
        <f t="shared" si="22"/>
        <v>0</v>
      </c>
      <c r="AG67" s="9">
        <f t="shared" si="22"/>
        <v>0</v>
      </c>
      <c r="AH67" s="9">
        <f t="shared" si="22"/>
        <v>10909.039999999999</v>
      </c>
      <c r="AI67" s="9">
        <f t="shared" si="22"/>
        <v>0</v>
      </c>
      <c r="AJ67" s="365">
        <f t="shared" si="7"/>
        <v>10909.039999999999</v>
      </c>
      <c r="AK67" s="460">
        <f t="shared" si="8"/>
        <v>10902.039999999999</v>
      </c>
    </row>
    <row r="68" spans="1:37" ht="14">
      <c r="A68" s="402" t="s">
        <v>1000</v>
      </c>
      <c r="B68" s="404">
        <v>15059608</v>
      </c>
      <c r="C68" s="404"/>
      <c r="D68" s="405" t="s">
        <v>847</v>
      </c>
      <c r="E68" s="405" t="s">
        <v>980</v>
      </c>
      <c r="F68" s="483">
        <v>1037.6300000000001</v>
      </c>
      <c r="G68" s="488">
        <v>245.76</v>
      </c>
      <c r="H68" s="491">
        <v>290.51</v>
      </c>
      <c r="I68" s="493">
        <v>467.26</v>
      </c>
      <c r="J68" s="495">
        <v>140.75</v>
      </c>
      <c r="K68" s="487"/>
      <c r="L68" s="487"/>
      <c r="M68" s="487"/>
      <c r="N68" s="487"/>
      <c r="O68" s="487"/>
      <c r="P68" s="487"/>
      <c r="Q68" s="487"/>
      <c r="R68" s="412">
        <f t="shared" si="4"/>
        <v>2181.91</v>
      </c>
      <c r="S68" s="456">
        <f t="shared" si="5"/>
        <v>363.65166666666664</v>
      </c>
      <c r="U68" s="9">
        <f t="shared" si="20"/>
        <v>0</v>
      </c>
      <c r="V68" s="9">
        <f t="shared" si="22"/>
        <v>0</v>
      </c>
      <c r="W68" s="9">
        <f t="shared" si="22"/>
        <v>0</v>
      </c>
      <c r="X68" s="9">
        <f t="shared" si="22"/>
        <v>0</v>
      </c>
      <c r="Y68" s="9">
        <f t="shared" si="22"/>
        <v>0</v>
      </c>
      <c r="Z68" s="9">
        <f t="shared" si="22"/>
        <v>0</v>
      </c>
      <c r="AA68" s="9">
        <f t="shared" si="22"/>
        <v>0</v>
      </c>
      <c r="AB68" s="9">
        <f t="shared" si="22"/>
        <v>0</v>
      </c>
      <c r="AC68" s="9">
        <f t="shared" si="22"/>
        <v>0</v>
      </c>
      <c r="AD68" s="9">
        <f t="shared" si="22"/>
        <v>0</v>
      </c>
      <c r="AE68" s="9">
        <f t="shared" si="22"/>
        <v>0</v>
      </c>
      <c r="AF68" s="9">
        <f t="shared" si="22"/>
        <v>0</v>
      </c>
      <c r="AG68" s="9">
        <f t="shared" si="22"/>
        <v>0</v>
      </c>
      <c r="AH68" s="9">
        <f t="shared" si="22"/>
        <v>2181.91</v>
      </c>
      <c r="AI68" s="9">
        <f t="shared" si="22"/>
        <v>0</v>
      </c>
      <c r="AJ68" s="365">
        <f t="shared" si="7"/>
        <v>2181.91</v>
      </c>
      <c r="AK68" s="460">
        <f t="shared" si="8"/>
        <v>2181.91</v>
      </c>
    </row>
    <row r="69" spans="1:37" ht="14">
      <c r="A69" s="402" t="s">
        <v>663</v>
      </c>
      <c r="B69" s="403">
        <v>15067165</v>
      </c>
      <c r="C69" s="403">
        <v>409</v>
      </c>
      <c r="D69" s="402" t="s">
        <v>264</v>
      </c>
      <c r="E69" s="402" t="s">
        <v>893</v>
      </c>
      <c r="F69" s="483">
        <v>83357.25</v>
      </c>
      <c r="G69" s="488">
        <v>118864.87</v>
      </c>
      <c r="H69" s="491">
        <v>93039.24</v>
      </c>
      <c r="I69" s="493">
        <v>135233.4</v>
      </c>
      <c r="J69" s="495">
        <v>83256.06</v>
      </c>
      <c r="K69" s="499">
        <v>45571.31</v>
      </c>
      <c r="L69" s="502">
        <v>26080</v>
      </c>
      <c r="M69" s="504">
        <v>47737.760000000002</v>
      </c>
      <c r="N69" s="491">
        <v>83172.55</v>
      </c>
      <c r="O69" s="519">
        <v>135835.24</v>
      </c>
      <c r="P69" s="522">
        <v>125414.1</v>
      </c>
      <c r="Q69" s="480">
        <v>113916.52</v>
      </c>
      <c r="R69" s="412">
        <f t="shared" ref="R69:R102" si="23">+SUM(F69:Q69)</f>
        <v>1091478.3</v>
      </c>
      <c r="S69" s="456">
        <f t="shared" si="5"/>
        <v>181913.05000000002</v>
      </c>
      <c r="U69" s="9">
        <f t="shared" ref="U69:AI102" si="24">+IF($A69=U$3,$R69,0)</f>
        <v>0</v>
      </c>
      <c r="V69" s="9">
        <f t="shared" si="24"/>
        <v>0</v>
      </c>
      <c r="W69" s="9">
        <f t="shared" si="24"/>
        <v>0</v>
      </c>
      <c r="X69" s="9">
        <f t="shared" si="24"/>
        <v>0</v>
      </c>
      <c r="Y69" s="9">
        <f t="shared" si="24"/>
        <v>0</v>
      </c>
      <c r="Z69" s="9">
        <f t="shared" si="24"/>
        <v>0</v>
      </c>
      <c r="AA69" s="9">
        <f t="shared" si="24"/>
        <v>0</v>
      </c>
      <c r="AB69" s="9">
        <f t="shared" si="24"/>
        <v>1091478.3</v>
      </c>
      <c r="AC69" s="9">
        <f t="shared" si="24"/>
        <v>0</v>
      </c>
      <c r="AD69" s="9">
        <f t="shared" si="24"/>
        <v>0</v>
      </c>
      <c r="AE69" s="9">
        <f t="shared" si="24"/>
        <v>0</v>
      </c>
      <c r="AF69" s="9">
        <f t="shared" si="24"/>
        <v>0</v>
      </c>
      <c r="AG69" s="9">
        <f t="shared" si="24"/>
        <v>0</v>
      </c>
      <c r="AH69" s="9">
        <f t="shared" si="24"/>
        <v>0</v>
      </c>
      <c r="AI69" s="9">
        <f t="shared" si="24"/>
        <v>0</v>
      </c>
      <c r="AJ69" s="365">
        <f t="shared" ref="AJ69:AJ102" si="25">+SUM(U69:AI69)</f>
        <v>1091478.3</v>
      </c>
      <c r="AK69" s="460">
        <f t="shared" ref="AK69:AK102" si="26">+AJ69-C69</f>
        <v>1091069.3</v>
      </c>
    </row>
    <row r="70" spans="1:37" ht="14">
      <c r="A70" s="402" t="s">
        <v>659</v>
      </c>
      <c r="B70" s="403">
        <v>7005102</v>
      </c>
      <c r="C70" s="403">
        <v>99</v>
      </c>
      <c r="D70" s="402" t="s">
        <v>633</v>
      </c>
      <c r="E70" s="402" t="s">
        <v>265</v>
      </c>
      <c r="F70" s="483">
        <v>9581.0499999999993</v>
      </c>
      <c r="G70" s="488">
        <v>11366.2</v>
      </c>
      <c r="H70" s="491">
        <v>9841.58</v>
      </c>
      <c r="I70" s="493">
        <v>11593.24</v>
      </c>
      <c r="J70" s="495">
        <v>7932.48</v>
      </c>
      <c r="K70" s="499">
        <v>6465.49</v>
      </c>
      <c r="L70" s="502">
        <v>6275.72</v>
      </c>
      <c r="M70" s="504">
        <v>5471.24</v>
      </c>
      <c r="N70" s="491">
        <v>6189.3</v>
      </c>
      <c r="O70" s="519">
        <v>9634.4</v>
      </c>
      <c r="P70" s="522">
        <v>9551.39</v>
      </c>
      <c r="Q70" s="480">
        <v>6356.53</v>
      </c>
      <c r="R70" s="412">
        <f t="shared" si="23"/>
        <v>100258.62</v>
      </c>
      <c r="S70" s="456">
        <f t="shared" si="5"/>
        <v>16709.77</v>
      </c>
      <c r="U70" s="9">
        <f t="shared" si="24"/>
        <v>0</v>
      </c>
      <c r="V70" s="9">
        <f t="shared" si="24"/>
        <v>0</v>
      </c>
      <c r="W70" s="9">
        <f t="shared" si="24"/>
        <v>0</v>
      </c>
      <c r="X70" s="9">
        <f t="shared" si="24"/>
        <v>0</v>
      </c>
      <c r="Y70" s="9">
        <f t="shared" si="24"/>
        <v>0</v>
      </c>
      <c r="Z70" s="9">
        <f t="shared" si="24"/>
        <v>0</v>
      </c>
      <c r="AA70" s="9">
        <f t="shared" si="24"/>
        <v>0</v>
      </c>
      <c r="AB70" s="9">
        <f t="shared" si="24"/>
        <v>0</v>
      </c>
      <c r="AC70" s="9">
        <f t="shared" si="24"/>
        <v>0</v>
      </c>
      <c r="AD70" s="9">
        <f t="shared" si="24"/>
        <v>0</v>
      </c>
      <c r="AE70" s="9">
        <f t="shared" si="24"/>
        <v>0</v>
      </c>
      <c r="AF70" s="9">
        <f t="shared" si="24"/>
        <v>100258.62</v>
      </c>
      <c r="AG70" s="9">
        <f t="shared" si="24"/>
        <v>0</v>
      </c>
      <c r="AH70" s="9">
        <f t="shared" si="24"/>
        <v>0</v>
      </c>
      <c r="AI70" s="9">
        <f t="shared" si="24"/>
        <v>0</v>
      </c>
      <c r="AJ70" s="365">
        <f t="shared" si="25"/>
        <v>100258.62</v>
      </c>
      <c r="AK70" s="460">
        <f t="shared" si="26"/>
        <v>100159.62</v>
      </c>
    </row>
    <row r="71" spans="1:37" ht="14">
      <c r="A71" s="402" t="s">
        <v>1000</v>
      </c>
      <c r="B71" s="403">
        <v>13675300</v>
      </c>
      <c r="C71" s="403"/>
      <c r="D71" s="402" t="s">
        <v>646</v>
      </c>
      <c r="E71" s="402" t="s">
        <v>967</v>
      </c>
      <c r="F71" s="483">
        <v>429.97</v>
      </c>
      <c r="G71" s="487"/>
      <c r="H71" s="491">
        <v>685.05</v>
      </c>
      <c r="I71" s="487"/>
      <c r="J71" s="487"/>
      <c r="K71" s="487"/>
      <c r="L71" s="487"/>
      <c r="M71" s="487"/>
      <c r="N71" s="491">
        <v>456.38</v>
      </c>
      <c r="O71" s="487"/>
      <c r="P71" s="522">
        <v>263.83999999999997</v>
      </c>
      <c r="Q71" s="487"/>
      <c r="R71" s="412">
        <f t="shared" si="23"/>
        <v>1835.24</v>
      </c>
      <c r="S71" s="456">
        <f t="shared" si="5"/>
        <v>305.87333333333333</v>
      </c>
      <c r="U71" s="9">
        <f t="shared" si="24"/>
        <v>0</v>
      </c>
      <c r="V71" s="9">
        <f t="shared" si="24"/>
        <v>0</v>
      </c>
      <c r="W71" s="9">
        <f t="shared" si="24"/>
        <v>0</v>
      </c>
      <c r="X71" s="9">
        <f t="shared" si="24"/>
        <v>0</v>
      </c>
      <c r="Y71" s="9">
        <f t="shared" si="24"/>
        <v>0</v>
      </c>
      <c r="Z71" s="9">
        <f t="shared" si="24"/>
        <v>0</v>
      </c>
      <c r="AA71" s="9">
        <f t="shared" si="24"/>
        <v>0</v>
      </c>
      <c r="AB71" s="9">
        <f t="shared" si="24"/>
        <v>0</v>
      </c>
      <c r="AC71" s="9">
        <f t="shared" si="24"/>
        <v>0</v>
      </c>
      <c r="AD71" s="9">
        <f t="shared" si="24"/>
        <v>0</v>
      </c>
      <c r="AE71" s="9">
        <f t="shared" si="24"/>
        <v>0</v>
      </c>
      <c r="AF71" s="9">
        <f t="shared" si="24"/>
        <v>0</v>
      </c>
      <c r="AG71" s="9">
        <f t="shared" si="24"/>
        <v>0</v>
      </c>
      <c r="AH71" s="9">
        <f t="shared" si="24"/>
        <v>1835.24</v>
      </c>
      <c r="AI71" s="9">
        <f t="shared" si="24"/>
        <v>0</v>
      </c>
      <c r="AJ71" s="365">
        <f t="shared" si="25"/>
        <v>1835.24</v>
      </c>
      <c r="AK71" s="460">
        <f t="shared" si="26"/>
        <v>1835.24</v>
      </c>
    </row>
    <row r="72" spans="1:37" ht="14">
      <c r="A72" s="402" t="s">
        <v>659</v>
      </c>
      <c r="B72" s="403">
        <v>15066520</v>
      </c>
      <c r="C72" s="403">
        <v>98</v>
      </c>
      <c r="D72" s="405"/>
      <c r="E72" s="405" t="s">
        <v>911</v>
      </c>
      <c r="F72" s="483">
        <v>8647.0300000000007</v>
      </c>
      <c r="G72" s="488">
        <v>9425.2000000000007</v>
      </c>
      <c r="H72" s="491">
        <v>9528.1200000000008</v>
      </c>
      <c r="I72" s="493">
        <v>11229.93</v>
      </c>
      <c r="J72" s="495">
        <v>9125.4599999999991</v>
      </c>
      <c r="K72" s="499">
        <v>9143.98</v>
      </c>
      <c r="L72" s="502">
        <v>7338.45</v>
      </c>
      <c r="M72" s="504">
        <v>6329.66</v>
      </c>
      <c r="N72" s="491">
        <v>6974.63</v>
      </c>
      <c r="O72" s="519">
        <v>9076.0300000000007</v>
      </c>
      <c r="P72" s="522">
        <v>7796.14</v>
      </c>
      <c r="Q72" s="480">
        <v>8674</v>
      </c>
      <c r="R72" s="412">
        <f t="shared" si="23"/>
        <v>103288.63</v>
      </c>
      <c r="S72" s="456">
        <f t="shared" si="5"/>
        <v>17214.771666666667</v>
      </c>
      <c r="U72" s="9">
        <f t="shared" si="24"/>
        <v>0</v>
      </c>
      <c r="V72" s="9">
        <f t="shared" si="24"/>
        <v>0</v>
      </c>
      <c r="W72" s="9">
        <f t="shared" si="24"/>
        <v>0</v>
      </c>
      <c r="X72" s="9">
        <f t="shared" si="24"/>
        <v>0</v>
      </c>
      <c r="Y72" s="9">
        <f t="shared" si="24"/>
        <v>0</v>
      </c>
      <c r="Z72" s="9">
        <f t="shared" si="24"/>
        <v>0</v>
      </c>
      <c r="AA72" s="9">
        <f t="shared" si="24"/>
        <v>0</v>
      </c>
      <c r="AB72" s="9">
        <f t="shared" si="24"/>
        <v>0</v>
      </c>
      <c r="AC72" s="9">
        <f t="shared" si="24"/>
        <v>0</v>
      </c>
      <c r="AD72" s="9">
        <f t="shared" si="24"/>
        <v>0</v>
      </c>
      <c r="AE72" s="9">
        <f t="shared" si="24"/>
        <v>0</v>
      </c>
      <c r="AF72" s="9">
        <f t="shared" si="24"/>
        <v>103288.63</v>
      </c>
      <c r="AG72" s="9">
        <f t="shared" si="24"/>
        <v>0</v>
      </c>
      <c r="AH72" s="9">
        <f t="shared" si="24"/>
        <v>0</v>
      </c>
      <c r="AI72" s="9">
        <f t="shared" si="24"/>
        <v>0</v>
      </c>
      <c r="AJ72" s="365">
        <f t="shared" si="25"/>
        <v>103288.63</v>
      </c>
      <c r="AK72" s="460">
        <f t="shared" si="26"/>
        <v>103190.63</v>
      </c>
    </row>
    <row r="73" spans="1:37" ht="14">
      <c r="A73" s="402" t="s">
        <v>535</v>
      </c>
      <c r="B73" s="403">
        <v>15061713</v>
      </c>
      <c r="C73" s="403">
        <v>84</v>
      </c>
      <c r="D73" s="405"/>
      <c r="E73" s="405" t="s">
        <v>511</v>
      </c>
      <c r="F73" s="483">
        <v>9654.4599999999991</v>
      </c>
      <c r="G73" s="488">
        <v>10525.19</v>
      </c>
      <c r="H73" s="491">
        <v>9425.26</v>
      </c>
      <c r="I73" s="493">
        <v>9598.58</v>
      </c>
      <c r="J73" s="495">
        <v>6379.61</v>
      </c>
      <c r="K73" s="499">
        <v>6794.52</v>
      </c>
      <c r="L73" s="502">
        <v>6271.06</v>
      </c>
      <c r="M73" s="479"/>
      <c r="N73" s="491">
        <v>9138.85</v>
      </c>
      <c r="O73" s="519">
        <v>10209.56</v>
      </c>
      <c r="P73" s="522">
        <v>9162.68</v>
      </c>
      <c r="Q73" s="480">
        <v>8266.4699999999993</v>
      </c>
      <c r="R73" s="412">
        <f t="shared" si="23"/>
        <v>95426.24000000002</v>
      </c>
      <c r="S73" s="456">
        <f t="shared" si="5"/>
        <v>15904.373333333337</v>
      </c>
      <c r="U73" s="9">
        <f t="shared" si="24"/>
        <v>0</v>
      </c>
      <c r="V73" s="9">
        <f t="shared" si="24"/>
        <v>0</v>
      </c>
      <c r="W73" s="9">
        <f t="shared" si="24"/>
        <v>0</v>
      </c>
      <c r="X73" s="9">
        <f t="shared" si="24"/>
        <v>0</v>
      </c>
      <c r="Y73" s="9">
        <f t="shared" si="24"/>
        <v>0</v>
      </c>
      <c r="Z73" s="9">
        <f t="shared" si="24"/>
        <v>0</v>
      </c>
      <c r="AA73" s="9">
        <f t="shared" si="24"/>
        <v>0</v>
      </c>
      <c r="AB73" s="9">
        <f t="shared" si="24"/>
        <v>95426.24000000002</v>
      </c>
      <c r="AC73" s="9">
        <f t="shared" si="24"/>
        <v>0</v>
      </c>
      <c r="AD73" s="9">
        <f t="shared" si="24"/>
        <v>0</v>
      </c>
      <c r="AE73" s="9">
        <f t="shared" si="24"/>
        <v>0</v>
      </c>
      <c r="AF73" s="9">
        <f t="shared" si="24"/>
        <v>0</v>
      </c>
      <c r="AG73" s="9">
        <f t="shared" si="24"/>
        <v>0</v>
      </c>
      <c r="AH73" s="9">
        <f t="shared" si="24"/>
        <v>0</v>
      </c>
      <c r="AI73" s="9">
        <f t="shared" si="24"/>
        <v>0</v>
      </c>
      <c r="AJ73" s="365">
        <f t="shared" si="25"/>
        <v>95426.24000000002</v>
      </c>
      <c r="AK73" s="460">
        <f t="shared" si="26"/>
        <v>95342.24000000002</v>
      </c>
    </row>
    <row r="74" spans="1:37" ht="14">
      <c r="A74" s="402" t="s">
        <v>658</v>
      </c>
      <c r="B74" s="403">
        <v>15063838</v>
      </c>
      <c r="C74" s="403">
        <v>120</v>
      </c>
      <c r="D74" s="402"/>
      <c r="E74" s="402" t="s">
        <v>908</v>
      </c>
      <c r="F74" s="483">
        <v>30480.78</v>
      </c>
      <c r="G74" s="488">
        <v>27009.74</v>
      </c>
      <c r="H74" s="493">
        <v>31560.14</v>
      </c>
      <c r="I74" s="493">
        <v>47568.7</v>
      </c>
      <c r="J74" s="495">
        <v>26985.599999999999</v>
      </c>
      <c r="K74" s="499">
        <v>22515.68</v>
      </c>
      <c r="L74" s="502">
        <v>15464.16</v>
      </c>
      <c r="M74" s="504">
        <v>20320.23</v>
      </c>
      <c r="N74" s="491">
        <v>26331.23</v>
      </c>
      <c r="O74" s="519">
        <v>46348.71</v>
      </c>
      <c r="P74" s="522">
        <v>41786.6</v>
      </c>
      <c r="Q74" s="480">
        <v>34123.86</v>
      </c>
      <c r="R74" s="412">
        <f t="shared" si="23"/>
        <v>370495.43</v>
      </c>
      <c r="S74" s="456">
        <f t="shared" si="5"/>
        <v>61749.238333333335</v>
      </c>
      <c r="U74" s="9">
        <f t="shared" si="24"/>
        <v>0</v>
      </c>
      <c r="V74" s="9">
        <f t="shared" si="24"/>
        <v>0</v>
      </c>
      <c r="W74" s="9">
        <f t="shared" si="24"/>
        <v>0</v>
      </c>
      <c r="X74" s="9">
        <f t="shared" si="24"/>
        <v>0</v>
      </c>
      <c r="Y74" s="9">
        <f t="shared" si="24"/>
        <v>0</v>
      </c>
      <c r="Z74" s="9">
        <f t="shared" si="24"/>
        <v>0</v>
      </c>
      <c r="AA74" s="9">
        <f t="shared" si="24"/>
        <v>0</v>
      </c>
      <c r="AB74" s="9">
        <f t="shared" si="24"/>
        <v>0</v>
      </c>
      <c r="AC74" s="9">
        <f t="shared" si="24"/>
        <v>370495.43</v>
      </c>
      <c r="AD74" s="9">
        <f t="shared" si="24"/>
        <v>0</v>
      </c>
      <c r="AE74" s="9">
        <f t="shared" si="24"/>
        <v>0</v>
      </c>
      <c r="AF74" s="9">
        <f t="shared" si="24"/>
        <v>0</v>
      </c>
      <c r="AG74" s="9">
        <f t="shared" si="24"/>
        <v>0</v>
      </c>
      <c r="AH74" s="9">
        <f t="shared" si="24"/>
        <v>0</v>
      </c>
      <c r="AI74" s="9">
        <f t="shared" si="24"/>
        <v>0</v>
      </c>
      <c r="AJ74" s="365">
        <f t="shared" si="25"/>
        <v>370495.43</v>
      </c>
      <c r="AK74" s="460">
        <f t="shared" si="26"/>
        <v>370375.43</v>
      </c>
    </row>
    <row r="75" spans="1:37" ht="14">
      <c r="A75" s="402" t="s">
        <v>1000</v>
      </c>
      <c r="B75" s="403">
        <v>15059551</v>
      </c>
      <c r="C75" s="403"/>
      <c r="D75" s="402"/>
      <c r="E75" s="402" t="s">
        <v>943</v>
      </c>
      <c r="F75" s="483">
        <v>27.88</v>
      </c>
      <c r="G75" s="488">
        <v>136.04</v>
      </c>
      <c r="H75" s="491">
        <v>179.44</v>
      </c>
      <c r="I75" s="493">
        <v>90.44</v>
      </c>
      <c r="J75" s="495">
        <v>41.23</v>
      </c>
      <c r="K75" s="499">
        <v>23.04</v>
      </c>
      <c r="L75" s="487"/>
      <c r="M75" s="487"/>
      <c r="N75" s="487"/>
      <c r="O75" s="487"/>
      <c r="P75" s="487"/>
      <c r="Q75" s="487"/>
      <c r="R75" s="412">
        <f t="shared" si="23"/>
        <v>498.07000000000005</v>
      </c>
      <c r="S75" s="456">
        <f t="shared" si="5"/>
        <v>83.01166666666667</v>
      </c>
      <c r="U75" s="9">
        <f t="shared" si="24"/>
        <v>0</v>
      </c>
      <c r="V75" s="9">
        <f t="shared" si="24"/>
        <v>0</v>
      </c>
      <c r="W75" s="9">
        <f t="shared" si="24"/>
        <v>0</v>
      </c>
      <c r="X75" s="9">
        <f t="shared" si="24"/>
        <v>0</v>
      </c>
      <c r="Y75" s="9">
        <f t="shared" si="24"/>
        <v>0</v>
      </c>
      <c r="Z75" s="9">
        <f t="shared" si="24"/>
        <v>0</v>
      </c>
      <c r="AA75" s="9">
        <f t="shared" si="24"/>
        <v>0</v>
      </c>
      <c r="AB75" s="9">
        <f t="shared" si="24"/>
        <v>0</v>
      </c>
      <c r="AC75" s="9">
        <f t="shared" si="24"/>
        <v>0</v>
      </c>
      <c r="AD75" s="9">
        <f t="shared" si="24"/>
        <v>0</v>
      </c>
      <c r="AE75" s="9">
        <f t="shared" si="24"/>
        <v>0</v>
      </c>
      <c r="AF75" s="9">
        <f t="shared" si="24"/>
        <v>0</v>
      </c>
      <c r="AG75" s="9">
        <f t="shared" si="24"/>
        <v>0</v>
      </c>
      <c r="AH75" s="9">
        <f t="shared" si="24"/>
        <v>498.07000000000005</v>
      </c>
      <c r="AI75" s="9">
        <f t="shared" si="24"/>
        <v>0</v>
      </c>
      <c r="AJ75" s="365">
        <f t="shared" si="25"/>
        <v>498.07000000000005</v>
      </c>
      <c r="AK75" s="460">
        <f t="shared" si="26"/>
        <v>498.07000000000005</v>
      </c>
    </row>
    <row r="76" spans="1:37" ht="14">
      <c r="A76" s="402" t="s">
        <v>659</v>
      </c>
      <c r="B76" s="403">
        <v>15036180</v>
      </c>
      <c r="C76" s="403">
        <v>123</v>
      </c>
      <c r="D76" s="402" t="s">
        <v>626</v>
      </c>
      <c r="E76" s="402" t="s">
        <v>687</v>
      </c>
      <c r="F76" s="483">
        <v>12749.91</v>
      </c>
      <c r="G76" s="488">
        <v>13785.91</v>
      </c>
      <c r="H76" s="491">
        <v>12318.63</v>
      </c>
      <c r="I76" s="495">
        <v>15877.74</v>
      </c>
      <c r="J76" s="495">
        <v>8008.36</v>
      </c>
      <c r="K76" s="499">
        <v>4855.4799999999996</v>
      </c>
      <c r="L76" s="502">
        <v>4415.1899999999996</v>
      </c>
      <c r="M76" s="504">
        <v>3577.29</v>
      </c>
      <c r="N76" s="491">
        <v>8442.19</v>
      </c>
      <c r="O76" s="519">
        <v>14015.42</v>
      </c>
      <c r="P76" s="524">
        <v>10549.94</v>
      </c>
      <c r="Q76" s="480">
        <v>11487.69</v>
      </c>
      <c r="R76" s="412">
        <f t="shared" si="23"/>
        <v>120083.75</v>
      </c>
      <c r="S76" s="456">
        <f t="shared" ref="S76:S102" si="27">+R76/$S$2</f>
        <v>20013.958333333332</v>
      </c>
      <c r="U76" s="9">
        <f t="shared" si="24"/>
        <v>0</v>
      </c>
      <c r="V76" s="9">
        <f t="shared" si="24"/>
        <v>0</v>
      </c>
      <c r="W76" s="9">
        <f t="shared" si="24"/>
        <v>0</v>
      </c>
      <c r="X76" s="9">
        <f t="shared" si="24"/>
        <v>0</v>
      </c>
      <c r="Y76" s="9">
        <f t="shared" si="24"/>
        <v>0</v>
      </c>
      <c r="Z76" s="9">
        <f t="shared" si="24"/>
        <v>0</v>
      </c>
      <c r="AA76" s="9">
        <f t="shared" si="24"/>
        <v>0</v>
      </c>
      <c r="AB76" s="9">
        <f t="shared" si="24"/>
        <v>0</v>
      </c>
      <c r="AC76" s="9">
        <f t="shared" si="24"/>
        <v>0</v>
      </c>
      <c r="AD76" s="9">
        <f t="shared" si="24"/>
        <v>0</v>
      </c>
      <c r="AE76" s="9">
        <f t="shared" si="24"/>
        <v>0</v>
      </c>
      <c r="AF76" s="9">
        <f t="shared" si="24"/>
        <v>120083.75</v>
      </c>
      <c r="AG76" s="9">
        <f t="shared" si="24"/>
        <v>0</v>
      </c>
      <c r="AH76" s="9">
        <f t="shared" si="24"/>
        <v>0</v>
      </c>
      <c r="AI76" s="9">
        <f t="shared" si="24"/>
        <v>0</v>
      </c>
      <c r="AJ76" s="365">
        <f t="shared" si="25"/>
        <v>120083.75</v>
      </c>
      <c r="AK76" s="460">
        <f t="shared" si="26"/>
        <v>119960.75</v>
      </c>
    </row>
    <row r="77" spans="1:37" ht="14">
      <c r="A77" s="402" t="s">
        <v>535</v>
      </c>
      <c r="B77" s="403">
        <v>15075513</v>
      </c>
      <c r="C77" s="403">
        <f>122+49</f>
        <v>171</v>
      </c>
      <c r="D77" s="402"/>
      <c r="E77" s="402" t="s">
        <v>998</v>
      </c>
      <c r="F77" s="490"/>
      <c r="G77" s="490"/>
      <c r="H77" s="490"/>
      <c r="I77" s="490"/>
      <c r="J77" s="490"/>
      <c r="K77" s="490"/>
      <c r="L77" s="490"/>
      <c r="M77" s="490"/>
      <c r="N77" s="490"/>
      <c r="O77" s="519">
        <v>4722.18</v>
      </c>
      <c r="P77" s="522">
        <v>9150.0300000000007</v>
      </c>
      <c r="Q77" s="480">
        <v>12993.53</v>
      </c>
      <c r="R77" s="412">
        <f t="shared" si="23"/>
        <v>26865.74</v>
      </c>
      <c r="U77" s="9">
        <f t="shared" si="24"/>
        <v>0</v>
      </c>
      <c r="V77" s="9">
        <f t="shared" si="24"/>
        <v>0</v>
      </c>
      <c r="W77" s="9">
        <f t="shared" si="24"/>
        <v>0</v>
      </c>
      <c r="X77" s="9">
        <f t="shared" si="24"/>
        <v>0</v>
      </c>
      <c r="Y77" s="9">
        <f t="shared" si="24"/>
        <v>0</v>
      </c>
      <c r="Z77" s="9">
        <f t="shared" si="24"/>
        <v>0</v>
      </c>
      <c r="AA77" s="9">
        <f t="shared" si="24"/>
        <v>0</v>
      </c>
      <c r="AB77" s="9">
        <f t="shared" si="24"/>
        <v>26865.74</v>
      </c>
      <c r="AC77" s="9">
        <f t="shared" si="24"/>
        <v>0</v>
      </c>
      <c r="AD77" s="9">
        <f t="shared" si="24"/>
        <v>0</v>
      </c>
      <c r="AE77" s="9">
        <f t="shared" si="24"/>
        <v>0</v>
      </c>
      <c r="AF77" s="9">
        <f t="shared" si="24"/>
        <v>0</v>
      </c>
      <c r="AG77" s="9">
        <f t="shared" si="24"/>
        <v>0</v>
      </c>
      <c r="AH77" s="9">
        <f t="shared" si="24"/>
        <v>0</v>
      </c>
      <c r="AI77" s="9">
        <f t="shared" si="24"/>
        <v>0</v>
      </c>
      <c r="AJ77" s="365">
        <f>+SUM(U77:AI77)</f>
        <v>26865.74</v>
      </c>
      <c r="AK77" s="460">
        <f t="shared" si="26"/>
        <v>26694.74</v>
      </c>
    </row>
    <row r="78" spans="1:37" ht="14">
      <c r="A78" s="402" t="s">
        <v>1000</v>
      </c>
      <c r="B78" s="403">
        <v>15020408</v>
      </c>
      <c r="C78" s="403"/>
      <c r="D78" s="402"/>
      <c r="E78" s="402" t="s">
        <v>367</v>
      </c>
      <c r="F78" s="490"/>
      <c r="G78" s="490"/>
      <c r="H78" s="490"/>
      <c r="I78" s="490"/>
      <c r="J78" s="490"/>
      <c r="K78" s="490"/>
      <c r="L78" s="490"/>
      <c r="M78" s="490"/>
      <c r="N78" s="490"/>
      <c r="O78" s="519">
        <v>142.80000000000001</v>
      </c>
      <c r="P78" s="490"/>
      <c r="Q78" s="490"/>
      <c r="R78" s="412">
        <f t="shared" si="23"/>
        <v>142.80000000000001</v>
      </c>
      <c r="U78" s="9">
        <f t="shared" si="24"/>
        <v>0</v>
      </c>
      <c r="V78" s="9">
        <f t="shared" si="24"/>
        <v>0</v>
      </c>
      <c r="W78" s="9">
        <f t="shared" si="24"/>
        <v>0</v>
      </c>
      <c r="X78" s="9">
        <f t="shared" si="24"/>
        <v>0</v>
      </c>
      <c r="Y78" s="9">
        <f t="shared" si="24"/>
        <v>0</v>
      </c>
      <c r="Z78" s="9">
        <f t="shared" si="24"/>
        <v>0</v>
      </c>
      <c r="AA78" s="9">
        <f t="shared" si="24"/>
        <v>0</v>
      </c>
      <c r="AB78" s="9">
        <f t="shared" si="24"/>
        <v>0</v>
      </c>
      <c r="AC78" s="9">
        <f t="shared" si="24"/>
        <v>0</v>
      </c>
      <c r="AD78" s="9">
        <f t="shared" si="24"/>
        <v>0</v>
      </c>
      <c r="AE78" s="9">
        <f t="shared" si="24"/>
        <v>0</v>
      </c>
      <c r="AF78" s="9">
        <f t="shared" si="24"/>
        <v>0</v>
      </c>
      <c r="AG78" s="9">
        <f t="shared" si="24"/>
        <v>0</v>
      </c>
      <c r="AH78" s="9">
        <f t="shared" si="24"/>
        <v>142.80000000000001</v>
      </c>
      <c r="AI78" s="9">
        <f t="shared" si="24"/>
        <v>0</v>
      </c>
      <c r="AJ78" s="365">
        <f>+SUM(U78:AI78)</f>
        <v>142.80000000000001</v>
      </c>
      <c r="AK78" s="460">
        <f t="shared" si="26"/>
        <v>142.80000000000001</v>
      </c>
    </row>
    <row r="79" spans="1:37" ht="14">
      <c r="A79" s="402" t="s">
        <v>662</v>
      </c>
      <c r="B79" s="403">
        <v>7001502</v>
      </c>
      <c r="C79" s="403">
        <v>145</v>
      </c>
      <c r="D79" s="402" t="s">
        <v>650</v>
      </c>
      <c r="E79" s="402" t="s">
        <v>270</v>
      </c>
      <c r="F79" s="483">
        <v>13625.42</v>
      </c>
      <c r="G79" s="488">
        <v>14225.01</v>
      </c>
      <c r="H79" s="491">
        <v>14962.58</v>
      </c>
      <c r="I79" s="493">
        <v>18381.98</v>
      </c>
      <c r="J79" s="495">
        <v>12060.2</v>
      </c>
      <c r="K79" s="499">
        <v>11474.14</v>
      </c>
      <c r="L79" s="502">
        <v>9756.1200000000008</v>
      </c>
      <c r="M79" s="504">
        <v>9157.42</v>
      </c>
      <c r="N79" s="491">
        <v>12142.25</v>
      </c>
      <c r="O79" s="519">
        <v>16002.74</v>
      </c>
      <c r="P79" s="522">
        <v>12149.94</v>
      </c>
      <c r="Q79" s="480">
        <v>13788.28</v>
      </c>
      <c r="R79" s="412">
        <f t="shared" si="23"/>
        <v>157726.07999999999</v>
      </c>
      <c r="S79" s="456">
        <f t="shared" si="27"/>
        <v>26287.679999999997</v>
      </c>
      <c r="U79" s="9">
        <f t="shared" si="24"/>
        <v>0</v>
      </c>
      <c r="V79" s="9">
        <f t="shared" si="24"/>
        <v>0</v>
      </c>
      <c r="W79" s="9">
        <f t="shared" si="24"/>
        <v>157726.07999999999</v>
      </c>
      <c r="X79" s="9">
        <f t="shared" si="24"/>
        <v>0</v>
      </c>
      <c r="Y79" s="9">
        <f t="shared" si="24"/>
        <v>0</v>
      </c>
      <c r="Z79" s="9">
        <f t="shared" si="24"/>
        <v>0</v>
      </c>
      <c r="AA79" s="9">
        <f t="shared" si="24"/>
        <v>0</v>
      </c>
      <c r="AB79" s="9">
        <f t="shared" si="24"/>
        <v>0</v>
      </c>
      <c r="AC79" s="9">
        <f t="shared" si="24"/>
        <v>0</v>
      </c>
      <c r="AD79" s="9">
        <f t="shared" si="24"/>
        <v>0</v>
      </c>
      <c r="AE79" s="9">
        <f t="shared" si="24"/>
        <v>0</v>
      </c>
      <c r="AF79" s="9">
        <f t="shared" si="24"/>
        <v>0</v>
      </c>
      <c r="AG79" s="9">
        <f t="shared" si="24"/>
        <v>0</v>
      </c>
      <c r="AH79" s="9">
        <f t="shared" si="24"/>
        <v>0</v>
      </c>
      <c r="AI79" s="9">
        <f t="shared" si="24"/>
        <v>0</v>
      </c>
      <c r="AJ79" s="365">
        <f t="shared" si="25"/>
        <v>157726.07999999999</v>
      </c>
      <c r="AK79" s="460">
        <f t="shared" si="26"/>
        <v>157581.07999999999</v>
      </c>
    </row>
    <row r="80" spans="1:37" ht="14">
      <c r="A80" s="402" t="s">
        <v>662</v>
      </c>
      <c r="B80" s="404">
        <v>15067771</v>
      </c>
      <c r="C80" s="404">
        <v>108</v>
      </c>
      <c r="D80" s="405"/>
      <c r="E80" s="405" t="s">
        <v>921</v>
      </c>
      <c r="F80" s="483">
        <v>11232.21</v>
      </c>
      <c r="G80" s="488">
        <v>10633.45</v>
      </c>
      <c r="H80" s="491">
        <v>9994.0300000000007</v>
      </c>
      <c r="I80" s="493">
        <v>12723.66</v>
      </c>
      <c r="J80" s="495">
        <v>8326.09</v>
      </c>
      <c r="K80" s="502">
        <v>7587.48</v>
      </c>
      <c r="L80" s="502">
        <v>5465.3</v>
      </c>
      <c r="M80" s="504">
        <v>5376.22</v>
      </c>
      <c r="N80" s="491">
        <v>8602.48</v>
      </c>
      <c r="O80" s="519">
        <v>10765</v>
      </c>
      <c r="P80" s="522">
        <v>10314.42</v>
      </c>
      <c r="Q80" s="480">
        <v>6508.61</v>
      </c>
      <c r="R80" s="412">
        <f t="shared" si="23"/>
        <v>107528.95</v>
      </c>
      <c r="S80" s="456">
        <f t="shared" si="27"/>
        <v>17921.491666666665</v>
      </c>
      <c r="U80" s="9">
        <f t="shared" si="24"/>
        <v>0</v>
      </c>
      <c r="V80" s="9">
        <f t="shared" si="24"/>
        <v>0</v>
      </c>
      <c r="W80" s="9">
        <f t="shared" si="24"/>
        <v>107528.95</v>
      </c>
      <c r="X80" s="9">
        <f t="shared" si="24"/>
        <v>0</v>
      </c>
      <c r="Y80" s="9">
        <f t="shared" si="24"/>
        <v>0</v>
      </c>
      <c r="Z80" s="9">
        <f t="shared" si="24"/>
        <v>0</v>
      </c>
      <c r="AA80" s="9">
        <f t="shared" si="24"/>
        <v>0</v>
      </c>
      <c r="AB80" s="9">
        <f t="shared" si="24"/>
        <v>0</v>
      </c>
      <c r="AC80" s="9">
        <f t="shared" si="24"/>
        <v>0</v>
      </c>
      <c r="AD80" s="9">
        <f t="shared" si="24"/>
        <v>0</v>
      </c>
      <c r="AE80" s="9">
        <f t="shared" si="24"/>
        <v>0</v>
      </c>
      <c r="AF80" s="9">
        <f t="shared" si="24"/>
        <v>0</v>
      </c>
      <c r="AG80" s="9">
        <f t="shared" si="24"/>
        <v>0</v>
      </c>
      <c r="AH80" s="9">
        <f t="shared" si="24"/>
        <v>0</v>
      </c>
      <c r="AI80" s="9">
        <f t="shared" si="24"/>
        <v>0</v>
      </c>
      <c r="AJ80" s="365">
        <f t="shared" si="25"/>
        <v>107528.95</v>
      </c>
      <c r="AK80" s="460">
        <f t="shared" si="26"/>
        <v>107420.95</v>
      </c>
    </row>
    <row r="81" spans="1:37" ht="14">
      <c r="A81" s="402" t="s">
        <v>658</v>
      </c>
      <c r="B81" s="440">
        <v>15051247</v>
      </c>
      <c r="C81" s="440">
        <v>117</v>
      </c>
      <c r="D81" s="402" t="s">
        <v>480</v>
      </c>
      <c r="E81" s="402" t="s">
        <v>480</v>
      </c>
      <c r="F81" s="483">
        <v>13915.44</v>
      </c>
      <c r="G81" s="488">
        <v>14646.2</v>
      </c>
      <c r="H81" s="491">
        <v>13844.48</v>
      </c>
      <c r="I81" s="493">
        <v>16737.47</v>
      </c>
      <c r="J81" s="495">
        <v>12291.14</v>
      </c>
      <c r="K81" s="499">
        <v>10830.77</v>
      </c>
      <c r="L81" s="502">
        <v>10013.74</v>
      </c>
      <c r="M81" s="504">
        <v>9481.67</v>
      </c>
      <c r="N81" s="491">
        <v>14307.05</v>
      </c>
      <c r="O81" s="519">
        <v>17281.54</v>
      </c>
      <c r="P81" s="522">
        <v>14817.2</v>
      </c>
      <c r="Q81" s="480">
        <v>14833.64</v>
      </c>
      <c r="R81" s="412">
        <f t="shared" si="23"/>
        <v>163000.34000000003</v>
      </c>
      <c r="S81" s="456">
        <f t="shared" si="27"/>
        <v>27166.723333333339</v>
      </c>
      <c r="U81" s="9">
        <f t="shared" si="24"/>
        <v>0</v>
      </c>
      <c r="V81" s="9">
        <f t="shared" si="24"/>
        <v>0</v>
      </c>
      <c r="W81" s="9">
        <f t="shared" si="24"/>
        <v>0</v>
      </c>
      <c r="X81" s="9">
        <f t="shared" si="24"/>
        <v>0</v>
      </c>
      <c r="Y81" s="9">
        <f t="shared" si="24"/>
        <v>0</v>
      </c>
      <c r="Z81" s="9">
        <f t="shared" si="24"/>
        <v>0</v>
      </c>
      <c r="AA81" s="9">
        <f t="shared" si="24"/>
        <v>0</v>
      </c>
      <c r="AB81" s="9">
        <f t="shared" si="24"/>
        <v>0</v>
      </c>
      <c r="AC81" s="9">
        <f t="shared" si="24"/>
        <v>163000.34000000003</v>
      </c>
      <c r="AD81" s="9">
        <f t="shared" si="24"/>
        <v>0</v>
      </c>
      <c r="AE81" s="9">
        <f t="shared" si="24"/>
        <v>0</v>
      </c>
      <c r="AF81" s="9">
        <f t="shared" si="24"/>
        <v>0</v>
      </c>
      <c r="AG81" s="9">
        <f t="shared" si="24"/>
        <v>0</v>
      </c>
      <c r="AH81" s="9">
        <f t="shared" si="24"/>
        <v>0</v>
      </c>
      <c r="AI81" s="9">
        <f t="shared" si="24"/>
        <v>0</v>
      </c>
      <c r="AJ81" s="365">
        <f t="shared" si="25"/>
        <v>163000.34000000003</v>
      </c>
      <c r="AK81" s="460">
        <f t="shared" si="26"/>
        <v>162883.34000000003</v>
      </c>
    </row>
    <row r="82" spans="1:37" ht="14">
      <c r="A82" s="402" t="s">
        <v>1000</v>
      </c>
      <c r="B82" s="404">
        <v>15012310</v>
      </c>
      <c r="C82" s="404"/>
      <c r="D82" s="405" t="s">
        <v>603</v>
      </c>
      <c r="E82" s="405" t="s">
        <v>684</v>
      </c>
      <c r="F82" s="483">
        <f>60.64+570.36</f>
        <v>631</v>
      </c>
      <c r="G82" s="488">
        <v>417</v>
      </c>
      <c r="H82" s="491">
        <v>241.36</v>
      </c>
      <c r="I82" s="487"/>
      <c r="J82" s="495">
        <v>256.41000000000003</v>
      </c>
      <c r="K82" s="499">
        <v>168.8</v>
      </c>
      <c r="L82" s="487"/>
      <c r="M82" s="487"/>
      <c r="N82" s="487"/>
      <c r="O82" s="487"/>
      <c r="P82" s="487"/>
      <c r="Q82" s="487"/>
      <c r="R82" s="412">
        <f t="shared" si="23"/>
        <v>1714.5700000000002</v>
      </c>
      <c r="S82" s="456">
        <f t="shared" si="27"/>
        <v>285.76166666666671</v>
      </c>
      <c r="U82" s="9">
        <f t="shared" si="24"/>
        <v>0</v>
      </c>
      <c r="V82" s="9">
        <f t="shared" si="24"/>
        <v>0</v>
      </c>
      <c r="W82" s="9">
        <f t="shared" si="24"/>
        <v>0</v>
      </c>
      <c r="X82" s="9">
        <f t="shared" si="24"/>
        <v>0</v>
      </c>
      <c r="Y82" s="9">
        <f t="shared" si="24"/>
        <v>0</v>
      </c>
      <c r="Z82" s="9">
        <f t="shared" si="24"/>
        <v>0</v>
      </c>
      <c r="AA82" s="9">
        <f t="shared" si="24"/>
        <v>0</v>
      </c>
      <c r="AB82" s="9">
        <f t="shared" si="24"/>
        <v>0</v>
      </c>
      <c r="AC82" s="9">
        <f t="shared" si="24"/>
        <v>0</v>
      </c>
      <c r="AD82" s="9">
        <f t="shared" si="24"/>
        <v>0</v>
      </c>
      <c r="AE82" s="9">
        <f t="shared" si="24"/>
        <v>0</v>
      </c>
      <c r="AF82" s="9">
        <f t="shared" si="24"/>
        <v>0</v>
      </c>
      <c r="AG82" s="9">
        <f t="shared" si="24"/>
        <v>0</v>
      </c>
      <c r="AH82" s="9">
        <f t="shared" si="24"/>
        <v>1714.5700000000002</v>
      </c>
      <c r="AI82" s="9">
        <f t="shared" si="24"/>
        <v>0</v>
      </c>
      <c r="AJ82" s="365">
        <f t="shared" si="25"/>
        <v>1714.5700000000002</v>
      </c>
      <c r="AK82" s="460">
        <f t="shared" si="26"/>
        <v>1714.5700000000002</v>
      </c>
    </row>
    <row r="83" spans="1:37" ht="14">
      <c r="A83" s="402" t="s">
        <v>530</v>
      </c>
      <c r="B83" s="403">
        <v>15051245</v>
      </c>
      <c r="C83" s="403">
        <v>91</v>
      </c>
      <c r="D83" s="402" t="s">
        <v>630</v>
      </c>
      <c r="E83" s="402" t="s">
        <v>630</v>
      </c>
      <c r="F83" s="483">
        <v>26614.18</v>
      </c>
      <c r="G83" s="488">
        <v>25638.81</v>
      </c>
      <c r="H83" s="491">
        <v>23071.72</v>
      </c>
      <c r="I83" s="493">
        <v>23820.91</v>
      </c>
      <c r="J83" s="495">
        <v>18089.28</v>
      </c>
      <c r="K83" s="499">
        <v>19757.490000000002</v>
      </c>
      <c r="L83" s="502">
        <v>16301.39</v>
      </c>
      <c r="M83" s="504">
        <v>13411.13</v>
      </c>
      <c r="N83" s="491">
        <v>21866.68</v>
      </c>
      <c r="O83" s="519">
        <v>27544.34</v>
      </c>
      <c r="P83" s="522">
        <v>22445.1</v>
      </c>
      <c r="Q83" s="480">
        <v>26582.9</v>
      </c>
      <c r="R83" s="412">
        <f>+SUM(F83:Q83)</f>
        <v>265143.93000000005</v>
      </c>
      <c r="S83" s="456">
        <f t="shared" si="27"/>
        <v>44190.655000000006</v>
      </c>
      <c r="T83" s="456"/>
      <c r="U83" s="9">
        <f t="shared" si="24"/>
        <v>0</v>
      </c>
      <c r="V83" s="9">
        <f t="shared" si="24"/>
        <v>0</v>
      </c>
      <c r="W83" s="9">
        <f t="shared" si="24"/>
        <v>0</v>
      </c>
      <c r="X83" s="9">
        <f t="shared" si="24"/>
        <v>0</v>
      </c>
      <c r="Y83" s="9">
        <f t="shared" si="24"/>
        <v>0</v>
      </c>
      <c r="Z83" s="9">
        <f t="shared" si="24"/>
        <v>265143.93000000005</v>
      </c>
      <c r="AA83" s="9">
        <f t="shared" si="24"/>
        <v>0</v>
      </c>
      <c r="AB83" s="9">
        <f t="shared" si="24"/>
        <v>0</v>
      </c>
      <c r="AC83" s="9">
        <f t="shared" si="24"/>
        <v>0</v>
      </c>
      <c r="AD83" s="9">
        <f t="shared" si="24"/>
        <v>0</v>
      </c>
      <c r="AE83" s="9">
        <f t="shared" si="24"/>
        <v>0</v>
      </c>
      <c r="AF83" s="9">
        <f t="shared" si="24"/>
        <v>0</v>
      </c>
      <c r="AG83" s="9">
        <f t="shared" si="24"/>
        <v>0</v>
      </c>
      <c r="AH83" s="9">
        <f t="shared" si="24"/>
        <v>0</v>
      </c>
      <c r="AI83" s="9">
        <f t="shared" si="24"/>
        <v>0</v>
      </c>
      <c r="AJ83" s="365">
        <f t="shared" si="25"/>
        <v>265143.93000000005</v>
      </c>
      <c r="AK83" s="460">
        <f t="shared" si="26"/>
        <v>265052.93000000005</v>
      </c>
    </row>
    <row r="84" spans="1:37" ht="14">
      <c r="A84" s="402" t="s">
        <v>535</v>
      </c>
      <c r="B84" s="403">
        <v>15072632</v>
      </c>
      <c r="C84" s="403">
        <v>80</v>
      </c>
      <c r="D84" s="402" t="s">
        <v>631</v>
      </c>
      <c r="E84" s="402" t="s">
        <v>975</v>
      </c>
      <c r="F84" s="483">
        <v>16370.06</v>
      </c>
      <c r="G84" s="488">
        <v>25193.83</v>
      </c>
      <c r="H84" s="491">
        <v>21675.16</v>
      </c>
      <c r="I84" s="493">
        <v>15809.76</v>
      </c>
      <c r="J84" s="504">
        <v>13519.25</v>
      </c>
      <c r="K84" s="504">
        <v>9726.0300000000007</v>
      </c>
      <c r="L84" s="502">
        <v>14087.63</v>
      </c>
      <c r="M84" s="504">
        <v>12912.32</v>
      </c>
      <c r="N84" s="491">
        <v>17138.28</v>
      </c>
      <c r="O84" s="519">
        <v>20575.419999999998</v>
      </c>
      <c r="P84" s="522">
        <v>17884.77</v>
      </c>
      <c r="Q84" s="480">
        <v>17811.240000000002</v>
      </c>
      <c r="R84" s="412">
        <f t="shared" si="23"/>
        <v>202703.74999999997</v>
      </c>
      <c r="S84" s="456">
        <f t="shared" si="27"/>
        <v>33783.958333333328</v>
      </c>
      <c r="T84" s="456"/>
      <c r="U84" s="9">
        <f t="shared" si="24"/>
        <v>0</v>
      </c>
      <c r="V84" s="9">
        <f t="shared" si="24"/>
        <v>0</v>
      </c>
      <c r="W84" s="9">
        <f t="shared" si="24"/>
        <v>0</v>
      </c>
      <c r="X84" s="9">
        <f t="shared" si="24"/>
        <v>0</v>
      </c>
      <c r="Y84" s="9">
        <f t="shared" si="24"/>
        <v>0</v>
      </c>
      <c r="Z84" s="9">
        <f t="shared" si="24"/>
        <v>0</v>
      </c>
      <c r="AA84" s="9">
        <f t="shared" si="24"/>
        <v>0</v>
      </c>
      <c r="AB84" s="9">
        <f t="shared" si="24"/>
        <v>202703.74999999997</v>
      </c>
      <c r="AC84" s="9">
        <f t="shared" si="24"/>
        <v>0</v>
      </c>
      <c r="AD84" s="9">
        <f t="shared" si="24"/>
        <v>0</v>
      </c>
      <c r="AE84" s="9">
        <f t="shared" si="24"/>
        <v>0</v>
      </c>
      <c r="AF84" s="9">
        <f t="shared" si="24"/>
        <v>0</v>
      </c>
      <c r="AG84" s="9">
        <f t="shared" si="24"/>
        <v>0</v>
      </c>
      <c r="AH84" s="9">
        <f t="shared" ref="V84:AI99" si="28">+IF($A84=AH$3,$R84,0)</f>
        <v>0</v>
      </c>
      <c r="AI84" s="9">
        <f t="shared" si="28"/>
        <v>0</v>
      </c>
      <c r="AJ84" s="365">
        <f t="shared" si="25"/>
        <v>202703.74999999997</v>
      </c>
      <c r="AK84" s="460">
        <f t="shared" si="26"/>
        <v>202623.74999999997</v>
      </c>
    </row>
    <row r="85" spans="1:37" ht="14">
      <c r="A85" s="402" t="s">
        <v>537</v>
      </c>
      <c r="B85" s="403">
        <v>15036831</v>
      </c>
      <c r="C85" s="403">
        <v>104</v>
      </c>
      <c r="D85" s="402" t="s">
        <v>364</v>
      </c>
      <c r="E85" s="402" t="s">
        <v>364</v>
      </c>
      <c r="F85" s="483">
        <v>27577.11</v>
      </c>
      <c r="G85" s="488">
        <v>22591.91</v>
      </c>
      <c r="H85" s="491">
        <v>22580.41</v>
      </c>
      <c r="I85" s="493">
        <v>30353.41</v>
      </c>
      <c r="J85" s="495">
        <v>23276.53</v>
      </c>
      <c r="K85" s="499">
        <v>18464.91</v>
      </c>
      <c r="L85" s="504">
        <v>21148.04</v>
      </c>
      <c r="M85" s="504">
        <v>19643.740000000002</v>
      </c>
      <c r="N85" s="491">
        <v>25066.19</v>
      </c>
      <c r="O85" s="519">
        <v>30681.040000000001</v>
      </c>
      <c r="P85" s="522">
        <v>23423.94</v>
      </c>
      <c r="Q85" s="480">
        <v>25345.45</v>
      </c>
      <c r="R85" s="412">
        <f t="shared" si="23"/>
        <v>290152.68</v>
      </c>
      <c r="S85" s="456">
        <f t="shared" si="27"/>
        <v>48358.78</v>
      </c>
      <c r="T85" s="456"/>
      <c r="U85" s="9">
        <f t="shared" si="24"/>
        <v>0</v>
      </c>
      <c r="V85" s="9">
        <f t="shared" si="28"/>
        <v>290152.68</v>
      </c>
      <c r="W85" s="9">
        <f t="shared" si="28"/>
        <v>0</v>
      </c>
      <c r="X85" s="9">
        <f t="shared" si="28"/>
        <v>0</v>
      </c>
      <c r="Y85" s="9">
        <f t="shared" si="28"/>
        <v>0</v>
      </c>
      <c r="Z85" s="9">
        <f t="shared" si="28"/>
        <v>0</v>
      </c>
      <c r="AA85" s="9">
        <f t="shared" si="28"/>
        <v>0</v>
      </c>
      <c r="AB85" s="9">
        <f t="shared" si="28"/>
        <v>0</v>
      </c>
      <c r="AC85" s="9">
        <f t="shared" si="28"/>
        <v>0</v>
      </c>
      <c r="AD85" s="9">
        <f t="shared" si="28"/>
        <v>0</v>
      </c>
      <c r="AE85" s="9">
        <f t="shared" si="28"/>
        <v>0</v>
      </c>
      <c r="AF85" s="9">
        <f t="shared" si="28"/>
        <v>0</v>
      </c>
      <c r="AG85" s="9">
        <f t="shared" si="28"/>
        <v>0</v>
      </c>
      <c r="AH85" s="9">
        <f t="shared" si="28"/>
        <v>0</v>
      </c>
      <c r="AI85" s="9">
        <f t="shared" si="28"/>
        <v>0</v>
      </c>
      <c r="AJ85" s="365">
        <f t="shared" si="25"/>
        <v>290152.68</v>
      </c>
      <c r="AK85" s="460">
        <f t="shared" si="26"/>
        <v>290048.68</v>
      </c>
    </row>
    <row r="86" spans="1:37" ht="14">
      <c r="A86" s="402" t="s">
        <v>530</v>
      </c>
      <c r="B86" s="404">
        <v>15059439</v>
      </c>
      <c r="C86" s="404">
        <v>105</v>
      </c>
      <c r="D86" s="405" t="s">
        <v>843</v>
      </c>
      <c r="E86" s="405" t="s">
        <v>280</v>
      </c>
      <c r="F86" s="483">
        <v>13304.27</v>
      </c>
      <c r="G86" s="488">
        <v>13388.41</v>
      </c>
      <c r="H86" s="491">
        <v>12869.15</v>
      </c>
      <c r="I86" s="493">
        <v>16524.169999999998</v>
      </c>
      <c r="J86" s="495">
        <v>8670.07</v>
      </c>
      <c r="K86" s="499">
        <v>6772.01</v>
      </c>
      <c r="L86" s="502">
        <v>5831.5</v>
      </c>
      <c r="M86" s="504">
        <v>5548.81</v>
      </c>
      <c r="N86" s="491">
        <v>8999.89</v>
      </c>
      <c r="O86" s="519">
        <v>14052.18</v>
      </c>
      <c r="P86" s="522">
        <v>9640.1299999999992</v>
      </c>
      <c r="Q86" s="480">
        <v>8740.6</v>
      </c>
      <c r="R86" s="412">
        <f t="shared" si="23"/>
        <v>124341.19</v>
      </c>
      <c r="S86" s="456">
        <f t="shared" si="27"/>
        <v>20723.531666666666</v>
      </c>
      <c r="T86" s="456"/>
      <c r="U86" s="9">
        <f t="shared" si="24"/>
        <v>0</v>
      </c>
      <c r="V86" s="9">
        <f t="shared" si="28"/>
        <v>0</v>
      </c>
      <c r="W86" s="9">
        <f t="shared" si="28"/>
        <v>0</v>
      </c>
      <c r="X86" s="9">
        <f t="shared" si="28"/>
        <v>0</v>
      </c>
      <c r="Y86" s="9">
        <f t="shared" si="28"/>
        <v>0</v>
      </c>
      <c r="Z86" s="9">
        <f t="shared" si="28"/>
        <v>124341.19</v>
      </c>
      <c r="AA86" s="9">
        <f t="shared" si="28"/>
        <v>0</v>
      </c>
      <c r="AB86" s="9">
        <f t="shared" si="28"/>
        <v>0</v>
      </c>
      <c r="AC86" s="9">
        <f t="shared" si="28"/>
        <v>0</v>
      </c>
      <c r="AD86" s="9">
        <f t="shared" si="28"/>
        <v>0</v>
      </c>
      <c r="AE86" s="9">
        <f t="shared" si="28"/>
        <v>0</v>
      </c>
      <c r="AF86" s="9">
        <f t="shared" si="28"/>
        <v>0</v>
      </c>
      <c r="AG86" s="9">
        <f t="shared" si="28"/>
        <v>0</v>
      </c>
      <c r="AH86" s="9">
        <f t="shared" si="28"/>
        <v>0</v>
      </c>
      <c r="AI86" s="9">
        <f t="shared" si="28"/>
        <v>0</v>
      </c>
      <c r="AJ86" s="365">
        <f t="shared" si="25"/>
        <v>124341.19</v>
      </c>
      <c r="AK86" s="460">
        <f t="shared" si="26"/>
        <v>124236.19</v>
      </c>
    </row>
    <row r="87" spans="1:37" ht="14">
      <c r="A87" s="402" t="s">
        <v>661</v>
      </c>
      <c r="B87" s="403">
        <v>15062798</v>
      </c>
      <c r="C87" s="403">
        <v>29</v>
      </c>
      <c r="D87" s="402" t="s">
        <v>281</v>
      </c>
      <c r="E87" s="402" t="s">
        <v>281</v>
      </c>
      <c r="F87" s="483">
        <v>2224.4499999999998</v>
      </c>
      <c r="G87" s="488">
        <v>2164.9499999999998</v>
      </c>
      <c r="H87" s="491">
        <v>2208.81</v>
      </c>
      <c r="I87" s="493">
        <v>2070.77</v>
      </c>
      <c r="J87" s="495">
        <v>2102.0500000000002</v>
      </c>
      <c r="K87" s="499">
        <v>1932.05</v>
      </c>
      <c r="L87" s="502">
        <v>1818.66</v>
      </c>
      <c r="M87" s="504">
        <v>1345.97</v>
      </c>
      <c r="N87" s="491">
        <v>2090.3200000000002</v>
      </c>
      <c r="O87" s="519">
        <v>2340.31</v>
      </c>
      <c r="P87" s="522">
        <v>2393.2600000000002</v>
      </c>
      <c r="Q87" s="480">
        <v>2442.9</v>
      </c>
      <c r="R87" s="412">
        <f t="shared" si="23"/>
        <v>25134.5</v>
      </c>
      <c r="S87" s="456">
        <f t="shared" si="27"/>
        <v>4189.083333333333</v>
      </c>
      <c r="U87" s="9">
        <f t="shared" si="24"/>
        <v>0</v>
      </c>
      <c r="V87" s="9">
        <f t="shared" si="28"/>
        <v>0</v>
      </c>
      <c r="W87" s="9">
        <f t="shared" si="28"/>
        <v>0</v>
      </c>
      <c r="X87" s="9">
        <f t="shared" si="28"/>
        <v>0</v>
      </c>
      <c r="Y87" s="9">
        <f t="shared" si="28"/>
        <v>0</v>
      </c>
      <c r="Z87" s="9">
        <f t="shared" si="28"/>
        <v>0</v>
      </c>
      <c r="AA87" s="9">
        <f t="shared" si="28"/>
        <v>0</v>
      </c>
      <c r="AB87" s="9">
        <f t="shared" si="28"/>
        <v>0</v>
      </c>
      <c r="AC87" s="9">
        <f t="shared" si="28"/>
        <v>0</v>
      </c>
      <c r="AD87" s="9">
        <f t="shared" si="28"/>
        <v>0</v>
      </c>
      <c r="AE87" s="9">
        <f t="shared" si="28"/>
        <v>0</v>
      </c>
      <c r="AF87" s="9">
        <f t="shared" si="28"/>
        <v>0</v>
      </c>
      <c r="AG87" s="9">
        <f t="shared" si="28"/>
        <v>25134.5</v>
      </c>
      <c r="AH87" s="9">
        <f t="shared" si="28"/>
        <v>0</v>
      </c>
      <c r="AI87" s="9">
        <f t="shared" si="28"/>
        <v>0</v>
      </c>
      <c r="AJ87" s="365">
        <f t="shared" si="25"/>
        <v>25134.5</v>
      </c>
      <c r="AK87" s="460">
        <f t="shared" si="26"/>
        <v>25105.5</v>
      </c>
    </row>
    <row r="88" spans="1:37" ht="14">
      <c r="A88" s="402" t="s">
        <v>660</v>
      </c>
      <c r="B88" s="403">
        <v>15051246</v>
      </c>
      <c r="C88" s="403">
        <v>108</v>
      </c>
      <c r="D88" s="402" t="s">
        <v>91</v>
      </c>
      <c r="E88" s="402" t="s">
        <v>91</v>
      </c>
      <c r="F88" s="483">
        <v>28875.47</v>
      </c>
      <c r="G88" s="488">
        <v>28190.17</v>
      </c>
      <c r="H88" s="491">
        <v>25458.52</v>
      </c>
      <c r="I88" s="493">
        <v>34171.96</v>
      </c>
      <c r="J88" s="495">
        <v>20341.18</v>
      </c>
      <c r="K88" s="499">
        <v>18955.43</v>
      </c>
      <c r="L88" s="502">
        <v>17206.21</v>
      </c>
      <c r="M88" s="504">
        <v>20470.810000000001</v>
      </c>
      <c r="N88" s="491">
        <v>26358.76</v>
      </c>
      <c r="O88" s="519">
        <v>32855.9</v>
      </c>
      <c r="P88" s="522">
        <v>29960.89</v>
      </c>
      <c r="Q88" s="480">
        <v>27914.68</v>
      </c>
      <c r="R88" s="412">
        <f t="shared" si="23"/>
        <v>310759.98</v>
      </c>
      <c r="S88" s="456">
        <f t="shared" si="27"/>
        <v>51793.329999999994</v>
      </c>
      <c r="U88" s="9">
        <f t="shared" si="24"/>
        <v>0</v>
      </c>
      <c r="V88" s="9">
        <f t="shared" si="28"/>
        <v>0</v>
      </c>
      <c r="W88" s="9">
        <f t="shared" si="28"/>
        <v>0</v>
      </c>
      <c r="X88" s="9">
        <f t="shared" si="28"/>
        <v>0</v>
      </c>
      <c r="Y88" s="9">
        <f t="shared" si="28"/>
        <v>0</v>
      </c>
      <c r="Z88" s="9">
        <f t="shared" si="28"/>
        <v>0</v>
      </c>
      <c r="AA88" s="9">
        <f t="shared" si="28"/>
        <v>0</v>
      </c>
      <c r="AB88" s="9">
        <f t="shared" si="28"/>
        <v>0</v>
      </c>
      <c r="AC88" s="9">
        <f t="shared" si="28"/>
        <v>0</v>
      </c>
      <c r="AD88" s="9">
        <f t="shared" si="28"/>
        <v>0</v>
      </c>
      <c r="AE88" s="9">
        <f t="shared" si="28"/>
        <v>0</v>
      </c>
      <c r="AF88" s="9">
        <f t="shared" si="28"/>
        <v>0</v>
      </c>
      <c r="AG88" s="9">
        <f t="shared" si="28"/>
        <v>310759.98</v>
      </c>
      <c r="AH88" s="9">
        <f t="shared" si="28"/>
        <v>0</v>
      </c>
      <c r="AI88" s="9">
        <f t="shared" si="28"/>
        <v>0</v>
      </c>
      <c r="AJ88" s="365">
        <f t="shared" si="25"/>
        <v>310759.98</v>
      </c>
      <c r="AK88" s="460">
        <f t="shared" si="26"/>
        <v>310651.98</v>
      </c>
    </row>
    <row r="89" spans="1:37" ht="14">
      <c r="A89" s="402" t="s">
        <v>704</v>
      </c>
      <c r="B89" s="403">
        <v>15032636</v>
      </c>
      <c r="C89" s="403">
        <v>107</v>
      </c>
      <c r="D89" s="402" t="s">
        <v>624</v>
      </c>
      <c r="E89" s="402" t="s">
        <v>574</v>
      </c>
      <c r="F89" s="483">
        <v>23666.44</v>
      </c>
      <c r="G89" s="488">
        <v>25290.13</v>
      </c>
      <c r="H89" s="491">
        <v>24163.3</v>
      </c>
      <c r="I89" s="493">
        <v>29424.63</v>
      </c>
      <c r="J89" s="495">
        <v>22879.11</v>
      </c>
      <c r="K89" s="499">
        <v>20969.12</v>
      </c>
      <c r="L89" s="502">
        <v>18720.07</v>
      </c>
      <c r="M89" s="504">
        <v>18586.05</v>
      </c>
      <c r="N89" s="491">
        <v>24696.75</v>
      </c>
      <c r="O89" s="519">
        <v>29452.62</v>
      </c>
      <c r="P89" s="522">
        <v>26128.87</v>
      </c>
      <c r="Q89" s="480">
        <v>25763.43</v>
      </c>
      <c r="R89" s="412">
        <f t="shared" si="23"/>
        <v>289740.52</v>
      </c>
      <c r="S89" s="456">
        <f t="shared" si="27"/>
        <v>48290.08666666667</v>
      </c>
      <c r="U89" s="9">
        <f t="shared" si="24"/>
        <v>0</v>
      </c>
      <c r="V89" s="9">
        <f t="shared" si="28"/>
        <v>0</v>
      </c>
      <c r="W89" s="9">
        <f t="shared" si="28"/>
        <v>0</v>
      </c>
      <c r="X89" s="9">
        <f t="shared" si="28"/>
        <v>0</v>
      </c>
      <c r="Y89" s="9">
        <f t="shared" si="28"/>
        <v>0</v>
      </c>
      <c r="Z89" s="9">
        <f t="shared" si="28"/>
        <v>0</v>
      </c>
      <c r="AA89" s="9">
        <f t="shared" si="28"/>
        <v>0</v>
      </c>
      <c r="AB89" s="9">
        <f t="shared" si="28"/>
        <v>0</v>
      </c>
      <c r="AC89" s="9">
        <f t="shared" si="28"/>
        <v>0</v>
      </c>
      <c r="AD89" s="9">
        <f t="shared" si="28"/>
        <v>0</v>
      </c>
      <c r="AE89" s="9">
        <f t="shared" si="28"/>
        <v>0</v>
      </c>
      <c r="AF89" s="9">
        <f t="shared" si="28"/>
        <v>0</v>
      </c>
      <c r="AG89" s="9">
        <f t="shared" si="28"/>
        <v>0</v>
      </c>
      <c r="AH89" s="9">
        <f t="shared" si="28"/>
        <v>0</v>
      </c>
      <c r="AI89" s="9">
        <f t="shared" si="28"/>
        <v>289740.52</v>
      </c>
      <c r="AJ89" s="365">
        <f t="shared" si="25"/>
        <v>289740.52</v>
      </c>
      <c r="AK89" s="460">
        <f t="shared" si="26"/>
        <v>289633.52</v>
      </c>
    </row>
    <row r="90" spans="1:37" ht="14">
      <c r="A90" s="402" t="s">
        <v>658</v>
      </c>
      <c r="B90" s="403">
        <v>15076004</v>
      </c>
      <c r="C90" s="403">
        <v>117</v>
      </c>
      <c r="D90" s="402" t="s">
        <v>574</v>
      </c>
      <c r="E90" s="402" t="s">
        <v>574</v>
      </c>
      <c r="F90" s="483"/>
      <c r="G90" s="488"/>
      <c r="H90" s="491"/>
      <c r="I90" s="493"/>
      <c r="J90" s="495"/>
      <c r="K90" s="499"/>
      <c r="L90" s="502"/>
      <c r="M90" s="504"/>
      <c r="N90" s="487"/>
      <c r="O90" s="487"/>
      <c r="P90" s="487"/>
      <c r="Q90" s="480">
        <v>1222.1600000000001</v>
      </c>
      <c r="R90" s="412">
        <f t="shared" si="23"/>
        <v>1222.1600000000001</v>
      </c>
      <c r="U90" s="9">
        <f t="shared" si="24"/>
        <v>0</v>
      </c>
      <c r="V90" s="9">
        <f t="shared" si="28"/>
        <v>0</v>
      </c>
      <c r="W90" s="9">
        <f t="shared" si="28"/>
        <v>0</v>
      </c>
      <c r="X90" s="9">
        <f t="shared" si="28"/>
        <v>0</v>
      </c>
      <c r="Y90" s="9">
        <f t="shared" si="28"/>
        <v>0</v>
      </c>
      <c r="Z90" s="9">
        <f t="shared" si="28"/>
        <v>0</v>
      </c>
      <c r="AA90" s="9">
        <f t="shared" si="28"/>
        <v>0</v>
      </c>
      <c r="AB90" s="9">
        <f t="shared" si="28"/>
        <v>0</v>
      </c>
      <c r="AC90" s="9">
        <f t="shared" si="28"/>
        <v>1222.1600000000001</v>
      </c>
      <c r="AD90" s="9">
        <f t="shared" si="28"/>
        <v>0</v>
      </c>
      <c r="AE90" s="9">
        <f t="shared" si="28"/>
        <v>0</v>
      </c>
      <c r="AF90" s="9">
        <f t="shared" si="28"/>
        <v>0</v>
      </c>
      <c r="AG90" s="9">
        <f t="shared" si="28"/>
        <v>0</v>
      </c>
      <c r="AH90" s="9">
        <f t="shared" si="28"/>
        <v>0</v>
      </c>
      <c r="AI90" s="9">
        <f t="shared" si="28"/>
        <v>0</v>
      </c>
      <c r="AJ90" s="365">
        <f>+SUM(U90:AI90)</f>
        <v>1222.1600000000001</v>
      </c>
      <c r="AK90" s="460">
        <f t="shared" si="26"/>
        <v>1105.1600000000001</v>
      </c>
    </row>
    <row r="91" spans="1:37" ht="14">
      <c r="A91" s="402" t="s">
        <v>1000</v>
      </c>
      <c r="B91" s="403">
        <v>13032900</v>
      </c>
      <c r="C91" s="403"/>
      <c r="D91" s="402" t="s">
        <v>569</v>
      </c>
      <c r="E91" s="402" t="s">
        <v>568</v>
      </c>
      <c r="F91" s="490"/>
      <c r="G91" s="488">
        <v>327.04000000000002</v>
      </c>
      <c r="H91" s="491">
        <v>508.92</v>
      </c>
      <c r="I91" s="493">
        <v>464.76</v>
      </c>
      <c r="J91" s="495">
        <v>237.15</v>
      </c>
      <c r="K91" s="487"/>
      <c r="L91" s="487"/>
      <c r="M91" s="487"/>
      <c r="N91" s="487"/>
      <c r="O91" s="487"/>
      <c r="P91" s="487"/>
      <c r="Q91" s="487"/>
      <c r="R91" s="412">
        <f t="shared" si="23"/>
        <v>1537.8700000000001</v>
      </c>
      <c r="S91" s="456">
        <f t="shared" si="27"/>
        <v>256.31166666666667</v>
      </c>
      <c r="U91" s="9">
        <f t="shared" si="24"/>
        <v>0</v>
      </c>
      <c r="V91" s="9">
        <f t="shared" si="28"/>
        <v>0</v>
      </c>
      <c r="W91" s="9">
        <f t="shared" si="28"/>
        <v>0</v>
      </c>
      <c r="X91" s="9">
        <f t="shared" si="28"/>
        <v>0</v>
      </c>
      <c r="Y91" s="9">
        <f t="shared" si="28"/>
        <v>0</v>
      </c>
      <c r="Z91" s="9">
        <f t="shared" si="28"/>
        <v>0</v>
      </c>
      <c r="AA91" s="9">
        <f t="shared" si="28"/>
        <v>0</v>
      </c>
      <c r="AB91" s="9">
        <f t="shared" si="28"/>
        <v>0</v>
      </c>
      <c r="AC91" s="9">
        <f t="shared" si="28"/>
        <v>0</v>
      </c>
      <c r="AD91" s="9">
        <f t="shared" si="28"/>
        <v>0</v>
      </c>
      <c r="AE91" s="9">
        <f t="shared" si="28"/>
        <v>0</v>
      </c>
      <c r="AF91" s="9">
        <f t="shared" si="28"/>
        <v>0</v>
      </c>
      <c r="AG91" s="9">
        <f t="shared" si="28"/>
        <v>0</v>
      </c>
      <c r="AH91" s="9">
        <f t="shared" si="28"/>
        <v>1537.8700000000001</v>
      </c>
      <c r="AI91" s="9">
        <f t="shared" si="28"/>
        <v>0</v>
      </c>
      <c r="AJ91" s="365">
        <f t="shared" si="25"/>
        <v>1537.8700000000001</v>
      </c>
      <c r="AK91" s="460">
        <f t="shared" si="26"/>
        <v>1537.8700000000001</v>
      </c>
    </row>
    <row r="92" spans="1:37" ht="14">
      <c r="A92" s="402" t="s">
        <v>705</v>
      </c>
      <c r="B92" s="403">
        <v>7004900</v>
      </c>
      <c r="C92" s="403">
        <v>25</v>
      </c>
      <c r="D92" s="402" t="s">
        <v>393</v>
      </c>
      <c r="E92" s="402" t="s">
        <v>393</v>
      </c>
      <c r="F92" s="483">
        <v>468.77</v>
      </c>
      <c r="G92" s="488">
        <v>440.3</v>
      </c>
      <c r="H92" s="491">
        <v>417.35</v>
      </c>
      <c r="I92" s="493">
        <v>407.58</v>
      </c>
      <c r="J92" s="495">
        <v>431.8</v>
      </c>
      <c r="K92" s="499">
        <v>414.38</v>
      </c>
      <c r="L92" s="502">
        <v>415.65</v>
      </c>
      <c r="M92" s="504">
        <v>394.83</v>
      </c>
      <c r="N92" s="491">
        <v>435.2</v>
      </c>
      <c r="O92" s="519">
        <v>457.3</v>
      </c>
      <c r="P92" s="522">
        <v>481.95</v>
      </c>
      <c r="Q92" s="480">
        <v>458.15</v>
      </c>
      <c r="R92" s="412">
        <f t="shared" si="23"/>
        <v>5223.2599999999993</v>
      </c>
      <c r="S92" s="456">
        <f t="shared" si="27"/>
        <v>870.54333333333318</v>
      </c>
      <c r="U92" s="9">
        <f t="shared" si="24"/>
        <v>0</v>
      </c>
      <c r="V92" s="9">
        <f t="shared" si="28"/>
        <v>0</v>
      </c>
      <c r="W92" s="9">
        <f t="shared" si="28"/>
        <v>0</v>
      </c>
      <c r="X92" s="9">
        <f t="shared" si="28"/>
        <v>0</v>
      </c>
      <c r="Y92" s="9">
        <f t="shared" si="28"/>
        <v>0</v>
      </c>
      <c r="Z92" s="9">
        <f t="shared" si="28"/>
        <v>0</v>
      </c>
      <c r="AA92" s="9">
        <f t="shared" si="28"/>
        <v>0</v>
      </c>
      <c r="AB92" s="9">
        <f t="shared" si="28"/>
        <v>0</v>
      </c>
      <c r="AC92" s="9">
        <f t="shared" si="28"/>
        <v>0</v>
      </c>
      <c r="AD92" s="9">
        <f t="shared" si="28"/>
        <v>0</v>
      </c>
      <c r="AE92" s="9">
        <f t="shared" si="28"/>
        <v>0</v>
      </c>
      <c r="AF92" s="9">
        <f t="shared" si="28"/>
        <v>0</v>
      </c>
      <c r="AG92" s="9">
        <f t="shared" si="28"/>
        <v>0</v>
      </c>
      <c r="AH92" s="9">
        <f t="shared" si="28"/>
        <v>0</v>
      </c>
      <c r="AI92" s="9">
        <f t="shared" si="28"/>
        <v>5223.2599999999993</v>
      </c>
      <c r="AJ92" s="365">
        <f t="shared" si="25"/>
        <v>5223.2599999999993</v>
      </c>
      <c r="AK92" s="460">
        <f t="shared" si="26"/>
        <v>5198.2599999999993</v>
      </c>
    </row>
    <row r="93" spans="1:37" ht="14">
      <c r="A93" s="402" t="s">
        <v>659</v>
      </c>
      <c r="B93" s="403">
        <v>15054341</v>
      </c>
      <c r="C93" s="403">
        <v>62</v>
      </c>
      <c r="D93" s="402" t="s">
        <v>669</v>
      </c>
      <c r="E93" s="402" t="s">
        <v>502</v>
      </c>
      <c r="F93" s="483">
        <v>5836.14</v>
      </c>
      <c r="G93" s="488">
        <v>6745.8</v>
      </c>
      <c r="H93" s="491">
        <v>6160.15</v>
      </c>
      <c r="I93" s="493">
        <v>7562.23</v>
      </c>
      <c r="J93" s="495">
        <v>5637.68</v>
      </c>
      <c r="K93" s="499">
        <v>4864.8900000000003</v>
      </c>
      <c r="L93" s="502">
        <v>5421.71</v>
      </c>
      <c r="M93" s="504">
        <v>5535.78</v>
      </c>
      <c r="N93" s="491">
        <v>5824.89</v>
      </c>
      <c r="O93" s="519">
        <v>7897.68</v>
      </c>
      <c r="P93" s="522">
        <v>6984.68</v>
      </c>
      <c r="Q93" s="480">
        <v>6530.01</v>
      </c>
      <c r="R93" s="412">
        <f t="shared" si="23"/>
        <v>75001.64</v>
      </c>
      <c r="S93" s="456">
        <f t="shared" si="27"/>
        <v>12500.273333333333</v>
      </c>
      <c r="U93" s="9">
        <f t="shared" si="24"/>
        <v>0</v>
      </c>
      <c r="V93" s="9">
        <f t="shared" si="28"/>
        <v>0</v>
      </c>
      <c r="W93" s="9">
        <f t="shared" si="28"/>
        <v>0</v>
      </c>
      <c r="X93" s="9">
        <f t="shared" si="28"/>
        <v>0</v>
      </c>
      <c r="Y93" s="9">
        <f t="shared" si="28"/>
        <v>0</v>
      </c>
      <c r="Z93" s="9">
        <f t="shared" si="28"/>
        <v>0</v>
      </c>
      <c r="AA93" s="9">
        <f t="shared" si="28"/>
        <v>0</v>
      </c>
      <c r="AB93" s="9">
        <f t="shared" si="28"/>
        <v>0</v>
      </c>
      <c r="AC93" s="9">
        <f t="shared" si="28"/>
        <v>0</v>
      </c>
      <c r="AD93" s="9">
        <f t="shared" si="28"/>
        <v>0</v>
      </c>
      <c r="AE93" s="9">
        <f t="shared" si="28"/>
        <v>0</v>
      </c>
      <c r="AF93" s="9">
        <f t="shared" si="28"/>
        <v>75001.64</v>
      </c>
      <c r="AG93" s="9">
        <f t="shared" si="28"/>
        <v>0</v>
      </c>
      <c r="AH93" s="9">
        <f t="shared" si="28"/>
        <v>0</v>
      </c>
      <c r="AI93" s="9">
        <f t="shared" si="28"/>
        <v>0</v>
      </c>
      <c r="AJ93" s="365">
        <f t="shared" si="25"/>
        <v>75001.64</v>
      </c>
      <c r="AK93" s="460">
        <f t="shared" si="26"/>
        <v>74939.64</v>
      </c>
    </row>
    <row r="94" spans="1:37" ht="14">
      <c r="A94" s="402" t="s">
        <v>659</v>
      </c>
      <c r="B94" s="403">
        <v>15060725</v>
      </c>
      <c r="C94" s="403">
        <v>110</v>
      </c>
      <c r="D94" s="402" t="s">
        <v>846</v>
      </c>
      <c r="E94" s="402" t="s">
        <v>846</v>
      </c>
      <c r="F94" s="483">
        <v>8917.48</v>
      </c>
      <c r="G94" s="488">
        <v>7979.66</v>
      </c>
      <c r="H94" s="491">
        <v>7672.26</v>
      </c>
      <c r="I94" s="493">
        <v>11347.7</v>
      </c>
      <c r="J94" s="495">
        <v>6442.57</v>
      </c>
      <c r="K94" s="499">
        <v>6615.43</v>
      </c>
      <c r="L94" s="502">
        <v>5760.42</v>
      </c>
      <c r="M94" s="504">
        <v>6167.18</v>
      </c>
      <c r="N94" s="491">
        <v>10528.46</v>
      </c>
      <c r="O94" s="519">
        <v>11043.69</v>
      </c>
      <c r="P94" s="522">
        <v>10627.98</v>
      </c>
      <c r="Q94" s="480">
        <v>11579.2</v>
      </c>
      <c r="R94" s="412">
        <f t="shared" si="23"/>
        <v>104682.03</v>
      </c>
      <c r="S94" s="456">
        <f t="shared" si="27"/>
        <v>17447.005000000001</v>
      </c>
      <c r="U94" s="9">
        <f t="shared" si="24"/>
        <v>0</v>
      </c>
      <c r="V94" s="9">
        <f t="shared" si="28"/>
        <v>0</v>
      </c>
      <c r="W94" s="9">
        <f t="shared" si="28"/>
        <v>0</v>
      </c>
      <c r="X94" s="9">
        <f t="shared" si="28"/>
        <v>0</v>
      </c>
      <c r="Y94" s="9">
        <f t="shared" si="28"/>
        <v>0</v>
      </c>
      <c r="Z94" s="9">
        <f t="shared" si="28"/>
        <v>0</v>
      </c>
      <c r="AA94" s="9">
        <f t="shared" si="28"/>
        <v>0</v>
      </c>
      <c r="AB94" s="9">
        <f t="shared" si="28"/>
        <v>0</v>
      </c>
      <c r="AC94" s="9">
        <f t="shared" si="28"/>
        <v>0</v>
      </c>
      <c r="AD94" s="9">
        <f t="shared" si="28"/>
        <v>0</v>
      </c>
      <c r="AE94" s="9">
        <f t="shared" si="28"/>
        <v>0</v>
      </c>
      <c r="AF94" s="9">
        <f t="shared" si="28"/>
        <v>104682.03</v>
      </c>
      <c r="AG94" s="9">
        <f t="shared" si="28"/>
        <v>0</v>
      </c>
      <c r="AH94" s="9">
        <f t="shared" si="28"/>
        <v>0</v>
      </c>
      <c r="AI94" s="9">
        <f t="shared" si="28"/>
        <v>0</v>
      </c>
      <c r="AJ94" s="365">
        <f t="shared" si="25"/>
        <v>104682.03</v>
      </c>
      <c r="AK94" s="460">
        <f t="shared" si="26"/>
        <v>104572.03</v>
      </c>
    </row>
    <row r="95" spans="1:37" ht="14">
      <c r="A95" s="402" t="s">
        <v>1000</v>
      </c>
      <c r="B95" s="403">
        <v>15068982</v>
      </c>
      <c r="C95" s="403"/>
      <c r="D95" s="402"/>
      <c r="E95" s="402" t="s">
        <v>924</v>
      </c>
      <c r="F95" s="483">
        <v>4637</v>
      </c>
      <c r="G95" s="491">
        <v>3752.07</v>
      </c>
      <c r="H95" s="493">
        <v>2604.23</v>
      </c>
      <c r="I95" s="495">
        <v>3620.15</v>
      </c>
      <c r="J95" s="495">
        <v>1867.37</v>
      </c>
      <c r="K95" s="502">
        <v>3341.81</v>
      </c>
      <c r="L95" s="504">
        <v>2430.3200000000002</v>
      </c>
      <c r="M95" s="491">
        <v>1576.07</v>
      </c>
      <c r="N95" s="491">
        <v>3441.19</v>
      </c>
      <c r="O95" s="522">
        <v>2773.81</v>
      </c>
      <c r="P95" s="524">
        <v>3830.86</v>
      </c>
      <c r="Q95" s="529">
        <v>5398.1</v>
      </c>
      <c r="R95" s="412">
        <f t="shared" si="23"/>
        <v>39272.979999999996</v>
      </c>
      <c r="S95" s="456">
        <f t="shared" si="27"/>
        <v>6545.496666666666</v>
      </c>
      <c r="U95" s="9">
        <f t="shared" si="24"/>
        <v>0</v>
      </c>
      <c r="V95" s="9">
        <f t="shared" si="28"/>
        <v>0</v>
      </c>
      <c r="W95" s="9">
        <f t="shared" si="28"/>
        <v>0</v>
      </c>
      <c r="X95" s="9">
        <f t="shared" si="28"/>
        <v>0</v>
      </c>
      <c r="Y95" s="9">
        <f t="shared" si="28"/>
        <v>0</v>
      </c>
      <c r="Z95" s="9">
        <f t="shared" si="28"/>
        <v>0</v>
      </c>
      <c r="AA95" s="9">
        <f t="shared" si="28"/>
        <v>0</v>
      </c>
      <c r="AB95" s="9">
        <f t="shared" si="28"/>
        <v>0</v>
      </c>
      <c r="AC95" s="9">
        <f t="shared" si="28"/>
        <v>0</v>
      </c>
      <c r="AD95" s="9">
        <f t="shared" si="28"/>
        <v>0</v>
      </c>
      <c r="AE95" s="9">
        <f t="shared" si="28"/>
        <v>0</v>
      </c>
      <c r="AF95" s="9">
        <f t="shared" si="28"/>
        <v>0</v>
      </c>
      <c r="AG95" s="9">
        <f t="shared" si="28"/>
        <v>0</v>
      </c>
      <c r="AH95" s="9">
        <f t="shared" si="28"/>
        <v>39272.979999999996</v>
      </c>
      <c r="AI95" s="9">
        <f t="shared" si="28"/>
        <v>0</v>
      </c>
      <c r="AJ95" s="365">
        <f t="shared" si="25"/>
        <v>39272.979999999996</v>
      </c>
      <c r="AK95" s="460">
        <f t="shared" si="26"/>
        <v>39272.979999999996</v>
      </c>
    </row>
    <row r="96" spans="1:37" ht="14">
      <c r="A96" s="402" t="s">
        <v>705</v>
      </c>
      <c r="B96" s="403">
        <v>7009800</v>
      </c>
      <c r="C96" s="403"/>
      <c r="D96" s="402" t="s">
        <v>113</v>
      </c>
      <c r="E96" s="402" t="s">
        <v>102</v>
      </c>
      <c r="F96" s="483">
        <v>73.91</v>
      </c>
      <c r="G96" s="488">
        <v>292.95</v>
      </c>
      <c r="H96" s="491">
        <v>285.82</v>
      </c>
      <c r="I96" s="493">
        <v>227.29</v>
      </c>
      <c r="J96" s="495">
        <v>112.56</v>
      </c>
      <c r="K96" s="487"/>
      <c r="L96" s="502">
        <v>38.450000000000003</v>
      </c>
      <c r="M96" s="504">
        <v>105.73</v>
      </c>
      <c r="N96" s="487"/>
      <c r="O96" s="487"/>
      <c r="P96" s="487"/>
      <c r="Q96" s="487"/>
      <c r="R96" s="412">
        <f t="shared" si="23"/>
        <v>1136.71</v>
      </c>
      <c r="S96" s="456">
        <f t="shared" si="27"/>
        <v>189.45166666666668</v>
      </c>
      <c r="U96" s="9">
        <f t="shared" si="24"/>
        <v>0</v>
      </c>
      <c r="V96" s="9">
        <f t="shared" si="28"/>
        <v>0</v>
      </c>
      <c r="W96" s="9">
        <f t="shared" si="28"/>
        <v>0</v>
      </c>
      <c r="X96" s="9">
        <f t="shared" si="28"/>
        <v>0</v>
      </c>
      <c r="Y96" s="9">
        <f t="shared" si="28"/>
        <v>0</v>
      </c>
      <c r="Z96" s="9">
        <f t="shared" si="28"/>
        <v>0</v>
      </c>
      <c r="AA96" s="9">
        <f t="shared" si="28"/>
        <v>0</v>
      </c>
      <c r="AB96" s="9">
        <f t="shared" si="28"/>
        <v>0</v>
      </c>
      <c r="AC96" s="9">
        <f t="shared" si="28"/>
        <v>0</v>
      </c>
      <c r="AD96" s="9">
        <f t="shared" si="28"/>
        <v>0</v>
      </c>
      <c r="AE96" s="9">
        <f t="shared" si="28"/>
        <v>0</v>
      </c>
      <c r="AF96" s="9">
        <f t="shared" si="28"/>
        <v>0</v>
      </c>
      <c r="AG96" s="9">
        <f t="shared" si="28"/>
        <v>0</v>
      </c>
      <c r="AH96" s="9">
        <f t="shared" si="28"/>
        <v>0</v>
      </c>
      <c r="AI96" s="9">
        <f t="shared" si="28"/>
        <v>1136.71</v>
      </c>
      <c r="AJ96" s="365">
        <f t="shared" si="25"/>
        <v>1136.71</v>
      </c>
      <c r="AK96" s="460">
        <f t="shared" si="26"/>
        <v>1136.71</v>
      </c>
    </row>
    <row r="97" spans="1:37" ht="14">
      <c r="A97" s="402" t="s">
        <v>531</v>
      </c>
      <c r="B97" s="403">
        <v>15059549</v>
      </c>
      <c r="C97" s="403">
        <v>42</v>
      </c>
      <c r="D97" s="402"/>
      <c r="E97" s="402" t="s">
        <v>856</v>
      </c>
      <c r="F97" s="483">
        <v>10827.73</v>
      </c>
      <c r="G97" s="488">
        <v>12643.16</v>
      </c>
      <c r="H97" s="491">
        <v>13765.81</v>
      </c>
      <c r="I97" s="493">
        <v>17550.23</v>
      </c>
      <c r="J97" s="499">
        <v>11137.81</v>
      </c>
      <c r="K97" s="499">
        <v>9608.26</v>
      </c>
      <c r="L97" s="502">
        <v>7801.17</v>
      </c>
      <c r="M97" s="504">
        <v>8607.81</v>
      </c>
      <c r="N97" s="519">
        <v>12805.24</v>
      </c>
      <c r="O97" s="519">
        <v>20214.560000000001</v>
      </c>
      <c r="P97" s="522">
        <v>17320.810000000001</v>
      </c>
      <c r="Q97" s="480">
        <v>15315.67</v>
      </c>
      <c r="R97" s="412">
        <f t="shared" si="23"/>
        <v>157598.26</v>
      </c>
      <c r="S97" s="456">
        <f t="shared" si="27"/>
        <v>26266.376666666667</v>
      </c>
      <c r="U97" s="9">
        <f t="shared" si="24"/>
        <v>0</v>
      </c>
      <c r="V97" s="9">
        <f t="shared" si="28"/>
        <v>0</v>
      </c>
      <c r="W97" s="9">
        <f t="shared" si="28"/>
        <v>0</v>
      </c>
      <c r="X97" s="9">
        <f t="shared" si="28"/>
        <v>157598.26</v>
      </c>
      <c r="Y97" s="9">
        <f t="shared" si="28"/>
        <v>0</v>
      </c>
      <c r="Z97" s="9">
        <f t="shared" si="28"/>
        <v>0</v>
      </c>
      <c r="AA97" s="9">
        <f t="shared" si="28"/>
        <v>0</v>
      </c>
      <c r="AB97" s="9">
        <f t="shared" si="28"/>
        <v>0</v>
      </c>
      <c r="AC97" s="9">
        <f t="shared" si="28"/>
        <v>0</v>
      </c>
      <c r="AD97" s="9">
        <f t="shared" si="28"/>
        <v>0</v>
      </c>
      <c r="AE97" s="9">
        <f t="shared" si="28"/>
        <v>0</v>
      </c>
      <c r="AF97" s="9">
        <f t="shared" si="28"/>
        <v>0</v>
      </c>
      <c r="AG97" s="9">
        <f t="shared" si="28"/>
        <v>0</v>
      </c>
      <c r="AH97" s="9">
        <f t="shared" si="28"/>
        <v>0</v>
      </c>
      <c r="AI97" s="9">
        <f t="shared" si="28"/>
        <v>0</v>
      </c>
      <c r="AJ97" s="365">
        <f t="shared" si="25"/>
        <v>157598.26</v>
      </c>
      <c r="AK97" s="460">
        <f t="shared" si="26"/>
        <v>157556.26</v>
      </c>
    </row>
    <row r="98" spans="1:37" ht="14">
      <c r="A98" s="402" t="s">
        <v>530</v>
      </c>
      <c r="B98" s="403">
        <v>15036275</v>
      </c>
      <c r="C98" s="403">
        <v>99</v>
      </c>
      <c r="D98" s="402" t="s">
        <v>645</v>
      </c>
      <c r="E98" s="402" t="s">
        <v>590</v>
      </c>
      <c r="F98" s="483">
        <v>24163.65</v>
      </c>
      <c r="G98" s="488">
        <v>19810.61</v>
      </c>
      <c r="H98" s="491">
        <v>20297.27</v>
      </c>
      <c r="I98" s="493">
        <v>25166.99</v>
      </c>
      <c r="J98" s="495">
        <v>16282.99</v>
      </c>
      <c r="K98" s="499">
        <v>14285.73</v>
      </c>
      <c r="L98" s="502">
        <v>12630.16</v>
      </c>
      <c r="M98" s="504">
        <v>11031.18</v>
      </c>
      <c r="N98" s="491">
        <v>19098.169999999998</v>
      </c>
      <c r="O98" s="519">
        <v>26311.75</v>
      </c>
      <c r="P98" s="522">
        <v>23325.11</v>
      </c>
      <c r="Q98" s="480">
        <v>23657.11</v>
      </c>
      <c r="R98" s="412">
        <f t="shared" si="23"/>
        <v>236060.71999999997</v>
      </c>
      <c r="S98" s="456">
        <f t="shared" si="27"/>
        <v>39343.453333333331</v>
      </c>
      <c r="U98" s="9">
        <f t="shared" si="24"/>
        <v>0</v>
      </c>
      <c r="V98" s="9">
        <f t="shared" si="28"/>
        <v>0</v>
      </c>
      <c r="W98" s="9">
        <f t="shared" si="28"/>
        <v>0</v>
      </c>
      <c r="X98" s="9">
        <f t="shared" si="28"/>
        <v>0</v>
      </c>
      <c r="Y98" s="9">
        <f t="shared" si="28"/>
        <v>0</v>
      </c>
      <c r="Z98" s="9">
        <f t="shared" si="28"/>
        <v>236060.71999999997</v>
      </c>
      <c r="AA98" s="9">
        <f t="shared" si="28"/>
        <v>0</v>
      </c>
      <c r="AB98" s="9">
        <f t="shared" si="28"/>
        <v>0</v>
      </c>
      <c r="AC98" s="9">
        <f t="shared" si="28"/>
        <v>0</v>
      </c>
      <c r="AD98" s="9">
        <f t="shared" si="28"/>
        <v>0</v>
      </c>
      <c r="AE98" s="9">
        <f t="shared" si="28"/>
        <v>0</v>
      </c>
      <c r="AF98" s="9">
        <f t="shared" si="28"/>
        <v>0</v>
      </c>
      <c r="AG98" s="9">
        <f t="shared" si="28"/>
        <v>0</v>
      </c>
      <c r="AH98" s="9">
        <f t="shared" si="28"/>
        <v>0</v>
      </c>
      <c r="AI98" s="9">
        <f t="shared" si="28"/>
        <v>0</v>
      </c>
      <c r="AJ98" s="365">
        <f t="shared" si="25"/>
        <v>236060.71999999997</v>
      </c>
      <c r="AK98" s="460">
        <f t="shared" si="26"/>
        <v>235961.71999999997</v>
      </c>
    </row>
    <row r="99" spans="1:37" ht="14">
      <c r="A99" s="402" t="s">
        <v>537</v>
      </c>
      <c r="B99" s="403">
        <v>15055052</v>
      </c>
      <c r="C99" s="403">
        <v>95</v>
      </c>
      <c r="D99" s="402" t="s">
        <v>590</v>
      </c>
      <c r="E99" s="402" t="s">
        <v>590</v>
      </c>
      <c r="F99" s="483">
        <v>23391.05</v>
      </c>
      <c r="G99" s="488">
        <v>22681.93</v>
      </c>
      <c r="H99" s="491">
        <v>21873.45</v>
      </c>
      <c r="I99" s="493">
        <v>25955.07</v>
      </c>
      <c r="J99" s="495">
        <v>20819.740000000002</v>
      </c>
      <c r="K99" s="499">
        <v>17104.25</v>
      </c>
      <c r="L99" s="504">
        <v>16200.01</v>
      </c>
      <c r="M99" s="504">
        <v>17001.57</v>
      </c>
      <c r="N99" s="491">
        <v>23158.22</v>
      </c>
      <c r="O99" s="519">
        <v>26375.74</v>
      </c>
      <c r="P99" s="522">
        <v>24585.759999999998</v>
      </c>
      <c r="Q99" s="480">
        <v>24941.07</v>
      </c>
      <c r="R99" s="412">
        <f t="shared" si="23"/>
        <v>264087.86</v>
      </c>
      <c r="S99" s="456">
        <f t="shared" si="27"/>
        <v>44014.643333333333</v>
      </c>
      <c r="U99" s="9">
        <f t="shared" si="24"/>
        <v>0</v>
      </c>
      <c r="V99" s="9">
        <f t="shared" si="28"/>
        <v>264087.86</v>
      </c>
      <c r="W99" s="9">
        <f t="shared" si="28"/>
        <v>0</v>
      </c>
      <c r="X99" s="9">
        <f t="shared" si="28"/>
        <v>0</v>
      </c>
      <c r="Y99" s="9">
        <f t="shared" si="28"/>
        <v>0</v>
      </c>
      <c r="Z99" s="9">
        <f t="shared" si="28"/>
        <v>0</v>
      </c>
      <c r="AA99" s="9">
        <f t="shared" si="28"/>
        <v>0</v>
      </c>
      <c r="AB99" s="9">
        <f t="shared" si="28"/>
        <v>0</v>
      </c>
      <c r="AC99" s="9">
        <f t="shared" si="28"/>
        <v>0</v>
      </c>
      <c r="AD99" s="9">
        <f t="shared" si="28"/>
        <v>0</v>
      </c>
      <c r="AE99" s="9">
        <f t="shared" si="28"/>
        <v>0</v>
      </c>
      <c r="AF99" s="9">
        <f t="shared" si="28"/>
        <v>0</v>
      </c>
      <c r="AG99" s="9">
        <f t="shared" si="28"/>
        <v>0</v>
      </c>
      <c r="AH99" s="9">
        <f t="shared" si="28"/>
        <v>0</v>
      </c>
      <c r="AI99" s="9">
        <f t="shared" si="28"/>
        <v>0</v>
      </c>
      <c r="AJ99" s="365">
        <f t="shared" si="25"/>
        <v>264087.86</v>
      </c>
      <c r="AK99" s="460">
        <f t="shared" si="26"/>
        <v>263992.86</v>
      </c>
    </row>
    <row r="100" spans="1:37" ht="14">
      <c r="A100" s="402" t="s">
        <v>1000</v>
      </c>
      <c r="B100" s="403">
        <v>15056636</v>
      </c>
      <c r="C100" s="403"/>
      <c r="D100" s="402" t="s">
        <v>712</v>
      </c>
      <c r="E100" s="402" t="s">
        <v>712</v>
      </c>
      <c r="F100" s="483">
        <v>147.88999999999999</v>
      </c>
      <c r="G100" s="488">
        <v>208.42</v>
      </c>
      <c r="H100" s="491">
        <v>224.4</v>
      </c>
      <c r="I100" s="493">
        <v>233.79</v>
      </c>
      <c r="J100" s="487"/>
      <c r="K100" s="487"/>
      <c r="L100" s="487"/>
      <c r="M100" s="487"/>
      <c r="N100" s="487"/>
      <c r="O100" s="487"/>
      <c r="P100" s="487"/>
      <c r="Q100" s="480">
        <v>245.48</v>
      </c>
      <c r="R100" s="412">
        <f t="shared" si="23"/>
        <v>1059.9799999999998</v>
      </c>
      <c r="S100" s="456">
        <f t="shared" si="27"/>
        <v>176.6633333333333</v>
      </c>
      <c r="U100" s="9">
        <f t="shared" si="24"/>
        <v>0</v>
      </c>
      <c r="V100" s="9">
        <f t="shared" ref="V100:AI102" si="29">+IF($A100=V$3,$R100,0)</f>
        <v>0</v>
      </c>
      <c r="W100" s="9">
        <f t="shared" si="29"/>
        <v>0</v>
      </c>
      <c r="X100" s="9">
        <f t="shared" si="29"/>
        <v>0</v>
      </c>
      <c r="Y100" s="9">
        <f t="shared" si="29"/>
        <v>0</v>
      </c>
      <c r="Z100" s="9">
        <f t="shared" si="29"/>
        <v>0</v>
      </c>
      <c r="AA100" s="9">
        <f t="shared" si="29"/>
        <v>0</v>
      </c>
      <c r="AB100" s="9">
        <f t="shared" si="29"/>
        <v>0</v>
      </c>
      <c r="AC100" s="9">
        <f t="shared" si="29"/>
        <v>0</v>
      </c>
      <c r="AD100" s="9">
        <f t="shared" si="29"/>
        <v>0</v>
      </c>
      <c r="AE100" s="9">
        <f t="shared" si="29"/>
        <v>0</v>
      </c>
      <c r="AF100" s="9">
        <f t="shared" si="29"/>
        <v>0</v>
      </c>
      <c r="AG100" s="9">
        <f t="shared" si="29"/>
        <v>0</v>
      </c>
      <c r="AH100" s="9">
        <f t="shared" si="29"/>
        <v>1059.9799999999998</v>
      </c>
      <c r="AI100" s="9">
        <f t="shared" si="29"/>
        <v>0</v>
      </c>
      <c r="AJ100" s="365">
        <f t="shared" si="25"/>
        <v>1059.9799999999998</v>
      </c>
      <c r="AK100" s="460">
        <f t="shared" si="26"/>
        <v>1059.9799999999998</v>
      </c>
    </row>
    <row r="101" spans="1:37" ht="14">
      <c r="A101" s="402" t="s">
        <v>1000</v>
      </c>
      <c r="B101" s="403">
        <v>13860400</v>
      </c>
      <c r="C101" s="403"/>
      <c r="D101" s="402"/>
      <c r="E101" s="402" t="s">
        <v>1019</v>
      </c>
      <c r="F101" s="482">
        <v>397.69</v>
      </c>
      <c r="G101" s="479">
        <v>35.700000000000003</v>
      </c>
      <c r="H101" s="479">
        <v>135.54</v>
      </c>
      <c r="I101" s="479">
        <v>326.64999999999998</v>
      </c>
      <c r="J101" s="479">
        <v>201.52</v>
      </c>
      <c r="K101" s="479">
        <v>45.48</v>
      </c>
      <c r="L101" s="479"/>
      <c r="M101" s="479"/>
      <c r="N101" s="479"/>
      <c r="O101" s="479"/>
      <c r="P101" s="479"/>
      <c r="Q101" s="480"/>
      <c r="R101" s="412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365"/>
      <c r="AK101" s="460"/>
    </row>
    <row r="102" spans="1:37" ht="14">
      <c r="A102" s="406" t="s">
        <v>533</v>
      </c>
      <c r="B102" s="407">
        <v>15055141</v>
      </c>
      <c r="C102" s="407">
        <v>124</v>
      </c>
      <c r="D102" s="408" t="s">
        <v>695</v>
      </c>
      <c r="E102" s="408" t="s">
        <v>695</v>
      </c>
      <c r="F102" s="485">
        <v>11580.45</v>
      </c>
      <c r="G102" s="489">
        <v>11539.26</v>
      </c>
      <c r="H102" s="492">
        <v>10781.06</v>
      </c>
      <c r="I102" s="494">
        <v>11864.84</v>
      </c>
      <c r="J102" s="497">
        <v>10169.75</v>
      </c>
      <c r="K102" s="500">
        <v>9180.23</v>
      </c>
      <c r="L102" s="503">
        <v>9344.3799999999992</v>
      </c>
      <c r="M102" s="505">
        <v>9538.6200000000008</v>
      </c>
      <c r="N102" s="492">
        <v>10981.53</v>
      </c>
      <c r="O102" s="521">
        <v>11856.71</v>
      </c>
      <c r="P102" s="523">
        <v>12548.9</v>
      </c>
      <c r="Q102" s="481">
        <v>11406.57</v>
      </c>
      <c r="R102" s="412">
        <f t="shared" si="23"/>
        <v>130792.29999999999</v>
      </c>
      <c r="S102" s="459">
        <f t="shared" si="27"/>
        <v>21798.716666666664</v>
      </c>
      <c r="U102" s="9">
        <f t="shared" si="24"/>
        <v>0</v>
      </c>
      <c r="V102" s="9">
        <f t="shared" si="29"/>
        <v>0</v>
      </c>
      <c r="W102" s="9">
        <f t="shared" si="29"/>
        <v>0</v>
      </c>
      <c r="X102" s="9">
        <f t="shared" si="29"/>
        <v>0</v>
      </c>
      <c r="Y102" s="9">
        <f t="shared" si="29"/>
        <v>0</v>
      </c>
      <c r="Z102" s="9">
        <f t="shared" si="29"/>
        <v>0</v>
      </c>
      <c r="AA102" s="9">
        <f t="shared" si="29"/>
        <v>0</v>
      </c>
      <c r="AB102" s="9">
        <f t="shared" si="29"/>
        <v>0</v>
      </c>
      <c r="AC102" s="9">
        <f t="shared" si="29"/>
        <v>0</v>
      </c>
      <c r="AD102" s="9">
        <f t="shared" si="29"/>
        <v>130792.29999999999</v>
      </c>
      <c r="AE102" s="9">
        <f t="shared" si="29"/>
        <v>0</v>
      </c>
      <c r="AF102" s="9">
        <f t="shared" si="29"/>
        <v>0</v>
      </c>
      <c r="AG102" s="9">
        <f t="shared" si="29"/>
        <v>0</v>
      </c>
      <c r="AH102" s="9">
        <f t="shared" si="29"/>
        <v>0</v>
      </c>
      <c r="AI102" s="9">
        <f t="shared" si="29"/>
        <v>0</v>
      </c>
      <c r="AJ102" s="365">
        <f t="shared" si="25"/>
        <v>130792.29999999999</v>
      </c>
      <c r="AK102" s="460">
        <f t="shared" si="26"/>
        <v>130668.29999999999</v>
      </c>
    </row>
    <row r="103" spans="1:37" ht="14">
      <c r="A103" s="402"/>
      <c r="B103" s="404"/>
      <c r="C103" s="404"/>
      <c r="D103" s="405"/>
      <c r="E103" s="405"/>
      <c r="F103" s="456">
        <f t="shared" ref="F103:S103" si="30">SUM(F4:F102)</f>
        <v>1587067.1799999988</v>
      </c>
      <c r="G103" s="412">
        <f t="shared" si="30"/>
        <v>1541647.0799999996</v>
      </c>
      <c r="H103" s="412">
        <f t="shared" si="30"/>
        <v>1518991.63</v>
      </c>
      <c r="I103" s="412">
        <f t="shared" si="30"/>
        <v>1981636.75</v>
      </c>
      <c r="J103" s="412">
        <f t="shared" si="30"/>
        <v>1307744.6800000004</v>
      </c>
      <c r="K103" s="412">
        <f t="shared" si="30"/>
        <v>1106352.5800000003</v>
      </c>
      <c r="L103" s="412">
        <f t="shared" si="30"/>
        <v>967076.94999999984</v>
      </c>
      <c r="M103" s="412">
        <f>SUM(M4:M102)</f>
        <v>1064499.9400000004</v>
      </c>
      <c r="N103" s="412">
        <f>SUM(N4:N102)</f>
        <v>1500643.4399999992</v>
      </c>
      <c r="O103" s="412">
        <f t="shared" si="30"/>
        <v>2081127.1599999992</v>
      </c>
      <c r="P103" s="412">
        <f t="shared" si="30"/>
        <v>1835262.83</v>
      </c>
      <c r="Q103" s="412">
        <f t="shared" si="30"/>
        <v>1803950.42</v>
      </c>
      <c r="R103" s="412">
        <f t="shared" si="30"/>
        <v>18294858.060000006</v>
      </c>
      <c r="S103" s="412">
        <f t="shared" si="30"/>
        <v>2992967.3149999999</v>
      </c>
    </row>
    <row r="104" spans="1:37" ht="14">
      <c r="A104" s="402"/>
      <c r="B104" s="404"/>
      <c r="C104" s="404"/>
      <c r="D104" s="405"/>
      <c r="E104" s="405"/>
    </row>
    <row r="105" spans="1:37" ht="14">
      <c r="E105" s="402" t="s">
        <v>140</v>
      </c>
      <c r="F105" s="426">
        <f t="shared" ref="F105:Q105" si="31">+F103</f>
        <v>1587067.1799999988</v>
      </c>
      <c r="G105" s="430">
        <f t="shared" si="31"/>
        <v>1541647.0799999996</v>
      </c>
      <c r="H105" s="430">
        <f t="shared" si="31"/>
        <v>1518991.63</v>
      </c>
      <c r="I105" s="430">
        <f t="shared" si="31"/>
        <v>1981636.75</v>
      </c>
      <c r="J105" s="430">
        <f t="shared" si="31"/>
        <v>1307744.6800000004</v>
      </c>
      <c r="K105" s="430">
        <f t="shared" si="31"/>
        <v>1106352.5800000003</v>
      </c>
      <c r="L105" s="430">
        <f t="shared" si="31"/>
        <v>967076.94999999984</v>
      </c>
      <c r="M105" s="430">
        <f t="shared" si="31"/>
        <v>1064499.9400000004</v>
      </c>
      <c r="N105" s="430">
        <f t="shared" si="31"/>
        <v>1500643.4399999992</v>
      </c>
      <c r="O105" s="430">
        <f t="shared" si="31"/>
        <v>2081127.1599999992</v>
      </c>
      <c r="P105" s="430">
        <f t="shared" si="31"/>
        <v>1835262.83</v>
      </c>
      <c r="Q105" s="430">
        <f t="shared" si="31"/>
        <v>1803950.42</v>
      </c>
      <c r="R105" s="412"/>
    </row>
    <row r="106" spans="1:37" ht="14">
      <c r="E106" s="402" t="s">
        <v>348</v>
      </c>
      <c r="F106" s="426">
        <f>-F5-F15-F16--F51-F57-F58-F60-F65-F91-F101</f>
        <v>-83745.040000000008</v>
      </c>
      <c r="G106" s="431">
        <f>-G15-G51-G58-G59-G60-G71-G95-G101</f>
        <v>-7613.2</v>
      </c>
      <c r="H106" s="431">
        <f>-H11-H15-H34-H37-H43-H49-H51-H52-H60-H65-H74-H95-H101</f>
        <v>-129254.93</v>
      </c>
      <c r="I106" s="431">
        <f>-I15-I24-I26-I38-I46-I51-I59-I60-I65-I71-I76-I82-I95-I101</f>
        <v>-117955.30999999998</v>
      </c>
      <c r="J106" s="431">
        <f>-J8-J13-J15-J16-J18-J21-J24-J30-J32-J38-J40-J50-J51-J53-J60-J65-J71-J77-J78-J84-J97-J100-J101-J55</f>
        <v>-154630.04999999999</v>
      </c>
      <c r="K106" s="431">
        <f>-K11-K15-K16-K32-K38-K40-K51-K54-K58-K59-K60-K68-K71-K77-K78-K80-K84-K91-K95-K96-K100-K101</f>
        <v>-37099.74</v>
      </c>
      <c r="L106" s="431">
        <f>-L11-L16-L38-L40-L43-L44-L51-L51-L54-L57-L58-L59-L60-L68-L71-L75-L82-L85-L91-L95-L99-L100-L101-L62</f>
        <v>-98477.390000000014</v>
      </c>
      <c r="M106" s="412">
        <f>-M11-M16-M26-M38-M40-M48-M51-M54-M57-M58-M59-M60-M61-M66-M68-M71-M73-M75-M82-M91-M95-M100-M62</f>
        <v>-69398.09</v>
      </c>
      <c r="N106" s="431">
        <f>-N6-N8-N11-N13-N16-N18-N21-N35-N38-N40-N51-N53-N54-N55-N57-N58-N60-N68-N75-N77-N78-N82-N90-N91-N96-N100-N101</f>
        <v>-246278.82</v>
      </c>
      <c r="O106" s="431">
        <f>-O4-O11-O15-O16-O17-O33-O38-O40-O51-O54-O57-O58-O59-O60-O68-O71-O75-O82-O91-O95-O96-O100</f>
        <v>-134379.43</v>
      </c>
      <c r="P106" s="431">
        <f>-P11-P15-P16-P17-P38-P40-P51-P54-P57-P58-P59-P60-P68-P75-P76-P78-P82-P91-P95-P96-P100</f>
        <v>-55566.29</v>
      </c>
      <c r="Q106" s="431"/>
    </row>
    <row r="107" spans="1:37" ht="14">
      <c r="E107" s="402" t="s">
        <v>349</v>
      </c>
      <c r="F107" s="427">
        <f>+'2021'!P5+'2021'!P10+'2021'!N32+'2021'!O32+'2021'!O74+'2021'!P74+'2021'!P75+'2021'!N81+'2021'!O81+'2021'!P81</f>
        <v>80234.649999999994</v>
      </c>
      <c r="G107" s="432">
        <f>+F5+F16+F65</f>
        <v>81436.13</v>
      </c>
      <c r="H107" s="432">
        <f>+G59+G95</f>
        <v>5659.05</v>
      </c>
      <c r="I107" s="432">
        <f>+H34+H37+H43+H49+H52+H74+H95</f>
        <v>127251.09</v>
      </c>
      <c r="J107" s="432">
        <f>+'2021'!N35+'2022'!I24+'2022'!I26+'2022'!I46+'2022'!I59+'2022'!I76+'2022'!I95</f>
        <v>110206.24999999999</v>
      </c>
      <c r="K107" s="432">
        <f>+J97+J55+J53+J51+J32+J24+J21+J18+J8+J13</f>
        <v>111777.81999999999</v>
      </c>
      <c r="L107" s="432">
        <f>+'2021'!O13+'2021'!P13+'2022'!F15+'2022'!G15+'2022'!H15+'2022'!I15+'2022'!J15+'2022'!K15+'2022'!J16+'2022'!K95+K80</f>
        <v>53611.01999999999</v>
      </c>
      <c r="M107" s="432">
        <f>+K16+L43+L44+J84+K84+L85+L95+L99</f>
        <v>116857.74</v>
      </c>
      <c r="N107" s="432">
        <f>+'2021'!K99+'2021'!L99+'2021'!M99+'2021'!O99+'2021'!P99+'2022'!F101+'2022'!G101+'2022'!H101+'2022'!I101+'2022'!J101+'2022'!K101+'2022'!M16+'2022'!M26+'2022'!N6+'2022'!N8+'2022'!N13+'2022'!N18+'2022'!N21+'2022'!N53+'2022'!N55+'2022'!N97</f>
        <v>272969.89</v>
      </c>
      <c r="O107" s="432">
        <f>+M16+M26+N6+N8+N13+N21+N35+N55+N97+N53+N18</f>
        <v>271338.26</v>
      </c>
      <c r="P107" s="432">
        <f>+O4+N16+O95+O33</f>
        <v>104719.28</v>
      </c>
      <c r="Q107" s="432">
        <f>+P95+P76+P59+O59+P16+O16+P15+O15</f>
        <v>94088.81</v>
      </c>
    </row>
    <row r="108" spans="1:37" ht="14">
      <c r="E108" s="402" t="s">
        <v>301</v>
      </c>
      <c r="F108" s="426">
        <f>+SUM(F105:F107)</f>
        <v>1583556.7899999986</v>
      </c>
      <c r="G108" s="425">
        <f>+SUM(G105:G107)</f>
        <v>1615470.0099999998</v>
      </c>
      <c r="H108" s="425">
        <f>+SUM(H105:H107)</f>
        <v>1395395.75</v>
      </c>
      <c r="I108" s="425">
        <f>+SUM(I105:I107)</f>
        <v>1990932.53</v>
      </c>
      <c r="J108" s="425">
        <f t="shared" ref="J108:Q108" si="32">+SUM(J105:J107)</f>
        <v>1263320.8800000004</v>
      </c>
      <c r="K108" s="425">
        <f t="shared" si="32"/>
        <v>1181030.6600000004</v>
      </c>
      <c r="L108" s="425">
        <f t="shared" si="32"/>
        <v>922210.57999999984</v>
      </c>
      <c r="M108" s="430">
        <f>+SUM(M105:M107)</f>
        <v>1111959.5900000005</v>
      </c>
      <c r="N108" s="425">
        <f t="shared" si="32"/>
        <v>1527334.5099999993</v>
      </c>
      <c r="O108" s="425">
        <f t="shared" si="32"/>
        <v>2218085.9899999993</v>
      </c>
      <c r="P108" s="425">
        <f t="shared" si="32"/>
        <v>1884415.82</v>
      </c>
      <c r="Q108" s="425">
        <f t="shared" si="32"/>
        <v>1898039.23</v>
      </c>
      <c r="R108" s="476"/>
    </row>
    <row r="109" spans="1:37" ht="14">
      <c r="E109" s="424" t="s">
        <v>304</v>
      </c>
      <c r="F109" s="426">
        <f t="shared" ref="F109:Q109" si="33">+F108/8.5*4</f>
        <v>745203.19529411697</v>
      </c>
      <c r="G109" s="426">
        <f t="shared" si="33"/>
        <v>760221.18117647048</v>
      </c>
      <c r="H109" s="426">
        <f t="shared" si="33"/>
        <v>656656.82352941181</v>
      </c>
      <c r="I109" s="426">
        <f t="shared" si="33"/>
        <v>936909.42588235298</v>
      </c>
      <c r="J109" s="426">
        <f t="shared" si="33"/>
        <v>594503.94352941192</v>
      </c>
      <c r="K109" s="426">
        <f t="shared" si="33"/>
        <v>555779.13411764719</v>
      </c>
      <c r="L109" s="426">
        <f t="shared" si="33"/>
        <v>433981.44941176462</v>
      </c>
      <c r="M109" s="426">
        <f t="shared" si="33"/>
        <v>523275.10117647087</v>
      </c>
      <c r="N109" s="426">
        <f>+N108/8.5*4</f>
        <v>718745.65176470554</v>
      </c>
      <c r="O109" s="426">
        <f t="shared" si="33"/>
        <v>1043805.1717647056</v>
      </c>
      <c r="P109" s="426">
        <f t="shared" si="33"/>
        <v>886783.91529411764</v>
      </c>
      <c r="Q109" s="426">
        <f t="shared" si="33"/>
        <v>893194.93176470592</v>
      </c>
    </row>
    <row r="110" spans="1:37" ht="14">
      <c r="E110" s="424" t="s">
        <v>305</v>
      </c>
      <c r="F110" s="426">
        <f t="shared" ref="F110:Q110" si="34">+F108/8.5*2</f>
        <v>372601.59764705849</v>
      </c>
      <c r="G110" s="426">
        <f t="shared" si="34"/>
        <v>380110.59058823524</v>
      </c>
      <c r="H110" s="426">
        <f t="shared" si="34"/>
        <v>328328.4117647059</v>
      </c>
      <c r="I110" s="426">
        <f t="shared" si="34"/>
        <v>468454.71294117649</v>
      </c>
      <c r="J110" s="426">
        <f t="shared" si="34"/>
        <v>297251.97176470596</v>
      </c>
      <c r="K110" s="426">
        <f t="shared" si="34"/>
        <v>277889.5670588236</v>
      </c>
      <c r="L110" s="426">
        <f t="shared" si="34"/>
        <v>216990.72470588231</v>
      </c>
      <c r="M110" s="426">
        <f t="shared" si="34"/>
        <v>261637.55058823543</v>
      </c>
      <c r="N110" s="426">
        <f t="shared" si="34"/>
        <v>359372.82588235277</v>
      </c>
      <c r="O110" s="426">
        <f t="shared" si="34"/>
        <v>521902.58588235278</v>
      </c>
      <c r="P110" s="426">
        <f t="shared" si="34"/>
        <v>443391.95764705882</v>
      </c>
      <c r="Q110" s="426">
        <f t="shared" si="34"/>
        <v>446597.46588235296</v>
      </c>
    </row>
    <row r="111" spans="1:37" ht="14">
      <c r="E111" s="402" t="s">
        <v>302</v>
      </c>
      <c r="F111" s="428">
        <f t="shared" ref="F111:Q111" si="35">+F109*0.005</f>
        <v>3726.015976470585</v>
      </c>
      <c r="G111" s="428">
        <f t="shared" si="35"/>
        <v>3801.1059058823525</v>
      </c>
      <c r="H111" s="428">
        <f t="shared" si="35"/>
        <v>3283.2841176470592</v>
      </c>
      <c r="I111" s="428">
        <f t="shared" si="35"/>
        <v>4684.5471294117651</v>
      </c>
      <c r="J111" s="428">
        <f t="shared" si="35"/>
        <v>2972.5197176470597</v>
      </c>
      <c r="K111" s="428">
        <f t="shared" si="35"/>
        <v>2778.895670588236</v>
      </c>
      <c r="L111" s="428">
        <f t="shared" si="35"/>
        <v>2169.907247058823</v>
      </c>
      <c r="M111" s="428">
        <f t="shared" si="35"/>
        <v>2616.3755058823544</v>
      </c>
      <c r="N111" s="428">
        <f>+N109*0.005</f>
        <v>3593.728258823528</v>
      </c>
      <c r="O111" s="428">
        <f t="shared" si="35"/>
        <v>5219.0258588235283</v>
      </c>
      <c r="P111" s="428">
        <f t="shared" si="35"/>
        <v>4433.9195764705883</v>
      </c>
      <c r="Q111" s="428">
        <f t="shared" si="35"/>
        <v>4465.9746588235294</v>
      </c>
    </row>
    <row r="112" spans="1:37" ht="14">
      <c r="E112" s="402" t="s">
        <v>702</v>
      </c>
      <c r="F112" s="428">
        <f t="shared" ref="F112:Q112" si="36">+F108/8.5*2</f>
        <v>372601.59764705849</v>
      </c>
      <c r="G112" s="428">
        <f t="shared" si="36"/>
        <v>380110.59058823524</v>
      </c>
      <c r="H112" s="428">
        <f t="shared" si="36"/>
        <v>328328.4117647059</v>
      </c>
      <c r="I112" s="428">
        <f t="shared" si="36"/>
        <v>468454.71294117649</v>
      </c>
      <c r="J112" s="428">
        <f t="shared" si="36"/>
        <v>297251.97176470596</v>
      </c>
      <c r="K112" s="428">
        <f t="shared" si="36"/>
        <v>277889.5670588236</v>
      </c>
      <c r="L112" s="428">
        <f t="shared" si="36"/>
        <v>216990.72470588231</v>
      </c>
      <c r="M112" s="428">
        <f t="shared" si="36"/>
        <v>261637.55058823543</v>
      </c>
      <c r="N112" s="428">
        <f t="shared" si="36"/>
        <v>359372.82588235277</v>
      </c>
      <c r="O112" s="428">
        <f t="shared" si="36"/>
        <v>521902.58588235278</v>
      </c>
      <c r="P112" s="428">
        <f t="shared" si="36"/>
        <v>443391.95764705882</v>
      </c>
      <c r="Q112" s="428">
        <f t="shared" si="36"/>
        <v>446597.46588235296</v>
      </c>
    </row>
    <row r="113" spans="5:18" ht="14">
      <c r="E113" s="402" t="s">
        <v>703</v>
      </c>
      <c r="F113" s="427">
        <f t="shared" ref="F113:Q113" si="37">+F108/8.5*0.5</f>
        <v>93150.399411764622</v>
      </c>
      <c r="G113" s="427">
        <f t="shared" si="37"/>
        <v>95027.64764705881</v>
      </c>
      <c r="H113" s="427">
        <f t="shared" si="37"/>
        <v>82082.102941176476</v>
      </c>
      <c r="I113" s="427">
        <f t="shared" si="37"/>
        <v>117113.67823529412</v>
      </c>
      <c r="J113" s="427">
        <f t="shared" si="37"/>
        <v>74312.99294117649</v>
      </c>
      <c r="K113" s="427">
        <f t="shared" si="37"/>
        <v>69472.391764705899</v>
      </c>
      <c r="L113" s="427">
        <f t="shared" si="37"/>
        <v>54247.681176470578</v>
      </c>
      <c r="M113" s="427">
        <f t="shared" si="37"/>
        <v>65409.387647058858</v>
      </c>
      <c r="N113" s="427">
        <f t="shared" si="37"/>
        <v>89843.206470588193</v>
      </c>
      <c r="O113" s="427">
        <f t="shared" si="37"/>
        <v>130475.6464705882</v>
      </c>
      <c r="P113" s="427">
        <f t="shared" si="37"/>
        <v>110847.98941176471</v>
      </c>
      <c r="Q113" s="427">
        <f t="shared" si="37"/>
        <v>111649.36647058824</v>
      </c>
    </row>
    <row r="114" spans="5:18" ht="14">
      <c r="E114" s="402" t="s">
        <v>303</v>
      </c>
      <c r="F114" s="426">
        <f t="shared" ref="F114:Q114" si="38">+F109-F111</f>
        <v>741477.17931764643</v>
      </c>
      <c r="G114" s="425">
        <f t="shared" si="38"/>
        <v>756420.07527058816</v>
      </c>
      <c r="H114" s="425">
        <f t="shared" si="38"/>
        <v>653373.53941176471</v>
      </c>
      <c r="I114" s="425">
        <f t="shared" si="38"/>
        <v>932224.87875294127</v>
      </c>
      <c r="J114" s="425">
        <f t="shared" si="38"/>
        <v>591531.42381176481</v>
      </c>
      <c r="K114" s="425">
        <f t="shared" si="38"/>
        <v>553000.23844705895</v>
      </c>
      <c r="L114" s="425">
        <f t="shared" si="38"/>
        <v>431811.54216470581</v>
      </c>
      <c r="M114" s="425">
        <f t="shared" si="38"/>
        <v>520658.72567058849</v>
      </c>
      <c r="N114" s="425">
        <f t="shared" si="38"/>
        <v>715151.92350588203</v>
      </c>
      <c r="O114" s="425">
        <f t="shared" si="38"/>
        <v>1038586.145905882</v>
      </c>
      <c r="P114" s="425">
        <f t="shared" si="38"/>
        <v>882349.99571764702</v>
      </c>
      <c r="Q114" s="425">
        <f t="shared" si="38"/>
        <v>888728.95710588235</v>
      </c>
    </row>
    <row r="115" spans="5:18" ht="14">
      <c r="E115" s="402"/>
      <c r="F115" s="428"/>
      <c r="G115" s="428"/>
      <c r="H115" s="428"/>
      <c r="I115" s="428"/>
    </row>
    <row r="116" spans="5:18" ht="14">
      <c r="E116" s="402" t="s">
        <v>637</v>
      </c>
      <c r="F116" s="428">
        <v>741477.18</v>
      </c>
      <c r="G116" s="429">
        <v>756420.08</v>
      </c>
      <c r="H116" s="429">
        <v>653373.54</v>
      </c>
      <c r="I116" s="429">
        <v>932224.88</v>
      </c>
      <c r="J116" s="498">
        <v>600666.6</v>
      </c>
      <c r="K116" s="412">
        <v>553000.24</v>
      </c>
      <c r="L116" s="412">
        <v>431811.54</v>
      </c>
      <c r="M116" s="412">
        <v>520658.73</v>
      </c>
      <c r="N116" s="412">
        <v>629553.93000000005</v>
      </c>
      <c r="O116" s="412">
        <v>1045403.61</v>
      </c>
    </row>
    <row r="117" spans="5:18" ht="14">
      <c r="E117" s="402" t="s">
        <v>648</v>
      </c>
      <c r="F117" s="428">
        <f t="shared" ref="F117:Q117" si="39">+F114-F116</f>
        <v>-6.8235362414270639E-4</v>
      </c>
      <c r="G117" s="429">
        <f t="shared" si="39"/>
        <v>-4.7294117975980043E-3</v>
      </c>
      <c r="H117" s="429">
        <f t="shared" si="39"/>
        <v>-5.882353289052844E-4</v>
      </c>
      <c r="I117" s="429">
        <f t="shared" si="39"/>
        <v>-1.2470587389543653E-3</v>
      </c>
      <c r="J117" s="429">
        <f t="shared" si="39"/>
        <v>-9135.1761882351711</v>
      </c>
      <c r="K117" s="429">
        <f t="shared" si="39"/>
        <v>-1.5529410447925329E-3</v>
      </c>
      <c r="L117" s="429">
        <f t="shared" si="39"/>
        <v>2.164705831091851E-3</v>
      </c>
      <c r="M117" s="429">
        <f t="shared" si="39"/>
        <v>-4.3294114875607193E-3</v>
      </c>
      <c r="N117" s="429">
        <f t="shared" si="39"/>
        <v>85597.993505881983</v>
      </c>
      <c r="O117" s="429">
        <f t="shared" si="39"/>
        <v>-6817.4640941179823</v>
      </c>
      <c r="P117" s="429">
        <f t="shared" si="39"/>
        <v>882349.99571764702</v>
      </c>
      <c r="Q117" s="429">
        <f t="shared" si="39"/>
        <v>888728.95710588235</v>
      </c>
      <c r="R117" s="460"/>
    </row>
  </sheetData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790B-3792-4FC9-8717-E8D7634DA995}">
  <sheetPr>
    <pageSetUpPr fitToPage="1"/>
  </sheetPr>
  <dimension ref="A1:AY115"/>
  <sheetViews>
    <sheetView zoomScale="98" zoomScaleNormal="98" workbookViewId="0">
      <pane xSplit="5" ySplit="3" topLeftCell="K4" activePane="bottomRight" state="frozen"/>
      <selection pane="topRight" activeCell="E1" sqref="E1"/>
      <selection pane="bottomLeft" activeCell="A4" sqref="A4"/>
      <selection pane="bottomRight" activeCell="R3" sqref="R3"/>
    </sheetView>
  </sheetViews>
  <sheetFormatPr defaultRowHeight="12.5"/>
  <cols>
    <col min="1" max="1" width="16.36328125" bestFit="1" customWidth="1"/>
    <col min="2" max="3" width="10.08984375" customWidth="1"/>
    <col min="4" max="4" width="9.08984375" customWidth="1"/>
    <col min="5" max="5" width="42.08984375" bestFit="1" customWidth="1"/>
    <col min="6" max="6" width="14.6328125" style="456" customWidth="1"/>
    <col min="7" max="7" width="15.36328125" style="412" customWidth="1"/>
    <col min="8" max="8" width="15.6328125" style="412" customWidth="1"/>
    <col min="9" max="10" width="15.36328125" style="412" customWidth="1"/>
    <col min="11" max="11" width="15.6328125" style="412" customWidth="1"/>
    <col min="12" max="12" width="15.54296875" style="412" customWidth="1"/>
    <col min="13" max="14" width="15.1796875" style="412" customWidth="1"/>
    <col min="15" max="15" width="15.6328125" style="412" customWidth="1"/>
    <col min="16" max="17" width="15.36328125" style="412" customWidth="1"/>
    <col min="18" max="18" width="13.6328125" customWidth="1"/>
    <col min="19" max="19" width="12.6328125" style="456" customWidth="1"/>
    <col min="20" max="20" width="13.08984375" style="456" bestFit="1" customWidth="1"/>
    <col min="21" max="21" width="8.90625" customWidth="1"/>
    <col min="22" max="22" width="15.08984375" bestFit="1" customWidth="1"/>
    <col min="23" max="23" width="14.08984375" bestFit="1" customWidth="1"/>
    <col min="24" max="24" width="15.08984375" bestFit="1" customWidth="1"/>
    <col min="25" max="25" width="12" customWidth="1"/>
    <col min="26" max="26" width="11.453125" customWidth="1"/>
    <col min="27" max="27" width="9" customWidth="1"/>
    <col min="28" max="29" width="15.08984375" bestFit="1" customWidth="1"/>
    <col min="30" max="30" width="14.08984375" bestFit="1" customWidth="1"/>
    <col min="31" max="31" width="8.90625" customWidth="1"/>
    <col min="32" max="35" width="15.08984375" bestFit="1" customWidth="1"/>
    <col min="36" max="36" width="16.6328125" bestFit="1" customWidth="1"/>
    <col min="37" max="37" width="10.90625" customWidth="1"/>
    <col min="38" max="38" width="1.6328125" customWidth="1"/>
    <col min="39" max="39" width="8.90625" customWidth="1"/>
    <col min="40" max="40" width="11.6328125" customWidth="1"/>
    <col min="41" max="42" width="14" style="456" customWidth="1"/>
    <col min="43" max="43" width="14.08984375" style="456" bestFit="1" customWidth="1"/>
    <col min="44" max="44" width="8.90625" style="525" customWidth="1"/>
    <col min="45" max="45" width="12.90625" customWidth="1"/>
    <col min="46" max="46" width="14" style="456" customWidth="1"/>
    <col min="47" max="47" width="12.90625" style="456" customWidth="1"/>
    <col min="48" max="48" width="8.90625" customWidth="1"/>
    <col min="49" max="49" width="15" customWidth="1"/>
    <col min="50" max="50" width="8.90625" customWidth="1"/>
    <col min="51" max="51" width="11.6328125" customWidth="1"/>
    <col min="52" max="54" width="8.90625" customWidth="1"/>
  </cols>
  <sheetData>
    <row r="1" spans="1:51">
      <c r="F1" s="456">
        <f t="shared" ref="F1:Q1" si="0">+SUM(F4:F98)</f>
        <v>1930011.0999999989</v>
      </c>
      <c r="G1" s="412">
        <f t="shared" si="0"/>
        <v>1807797.2000000004</v>
      </c>
      <c r="H1" s="412">
        <f t="shared" si="0"/>
        <v>2011970.4400000002</v>
      </c>
      <c r="I1" s="412">
        <f t="shared" si="0"/>
        <v>2521951.4100000006</v>
      </c>
      <c r="J1" s="412">
        <f t="shared" si="0"/>
        <v>2087693.5499999998</v>
      </c>
      <c r="K1" s="412">
        <f t="shared" si="0"/>
        <v>1247332.5899999996</v>
      </c>
      <c r="L1" s="412">
        <f t="shared" si="0"/>
        <v>1270663.0299999998</v>
      </c>
      <c r="M1" s="412">
        <f t="shared" si="0"/>
        <v>1393965.3399999994</v>
      </c>
      <c r="N1" s="412">
        <f>+SUM(N5:N98)</f>
        <v>2030321.47</v>
      </c>
      <c r="O1" s="412">
        <f t="shared" si="0"/>
        <v>2327623.4700000002</v>
      </c>
      <c r="P1" s="412">
        <f t="shared" si="0"/>
        <v>1985693.6099999999</v>
      </c>
      <c r="Q1" s="412">
        <f t="shared" si="0"/>
        <v>2035399.7399999998</v>
      </c>
      <c r="R1" s="412">
        <f>+SUM(R4:R98)</f>
        <v>11068827.839999996</v>
      </c>
      <c r="V1" s="456"/>
      <c r="W1" s="456"/>
      <c r="X1" s="456"/>
      <c r="Y1" s="456"/>
      <c r="Z1" s="456"/>
      <c r="AA1" s="456"/>
      <c r="AB1" s="456"/>
      <c r="AC1" s="456"/>
      <c r="AD1" s="456"/>
      <c r="AE1" s="456"/>
      <c r="AF1" s="456"/>
      <c r="AG1" s="456"/>
      <c r="AH1" s="456"/>
      <c r="AI1" s="456"/>
      <c r="AJ1" s="456"/>
    </row>
    <row r="2" spans="1:51">
      <c r="C2">
        <f>+SUM(C4:C98)</f>
        <v>8821</v>
      </c>
      <c r="E2" s="460"/>
      <c r="S2" s="456">
        <v>6</v>
      </c>
      <c r="U2" s="458">
        <f t="shared" ref="U2:AJ2" si="1">+SUM(U4:U98)</f>
        <v>0</v>
      </c>
      <c r="V2" s="458">
        <f t="shared" si="1"/>
        <v>501</v>
      </c>
      <c r="W2" s="458">
        <f t="shared" si="1"/>
        <v>476</v>
      </c>
      <c r="X2" s="458">
        <f t="shared" si="1"/>
        <v>1199</v>
      </c>
      <c r="Y2" s="458">
        <f t="shared" si="1"/>
        <v>0</v>
      </c>
      <c r="Z2" s="458">
        <f t="shared" si="1"/>
        <v>1190</v>
      </c>
      <c r="AA2" s="458">
        <f t="shared" si="1"/>
        <v>0</v>
      </c>
      <c r="AB2" s="458">
        <f t="shared" si="1"/>
        <v>1734</v>
      </c>
      <c r="AC2" s="458">
        <f t="shared" si="1"/>
        <v>935</v>
      </c>
      <c r="AD2" s="458">
        <f t="shared" si="1"/>
        <v>630</v>
      </c>
      <c r="AE2" s="458">
        <f t="shared" si="1"/>
        <v>0</v>
      </c>
      <c r="AF2" s="458">
        <f t="shared" si="1"/>
        <v>909</v>
      </c>
      <c r="AG2" s="458">
        <f t="shared" si="1"/>
        <v>789</v>
      </c>
      <c r="AH2" s="458">
        <f t="shared" si="1"/>
        <v>91</v>
      </c>
      <c r="AI2" s="458">
        <f t="shared" si="1"/>
        <v>367</v>
      </c>
      <c r="AJ2" s="458">
        <f t="shared" si="1"/>
        <v>8821</v>
      </c>
    </row>
    <row r="3" spans="1:51" ht="25.5">
      <c r="A3" s="401" t="s">
        <v>523</v>
      </c>
      <c r="B3" s="400" t="s">
        <v>82</v>
      </c>
      <c r="C3" s="400" t="s">
        <v>981</v>
      </c>
      <c r="D3" s="401" t="s">
        <v>524</v>
      </c>
      <c r="E3" s="401" t="s">
        <v>0</v>
      </c>
      <c r="F3" s="507" t="s">
        <v>1001</v>
      </c>
      <c r="G3" s="508" t="s">
        <v>1002</v>
      </c>
      <c r="H3" s="509" t="s">
        <v>1003</v>
      </c>
      <c r="I3" s="510" t="s">
        <v>1004</v>
      </c>
      <c r="J3" s="511" t="s">
        <v>1005</v>
      </c>
      <c r="K3" s="512" t="s">
        <v>1006</v>
      </c>
      <c r="L3" s="513" t="s">
        <v>1007</v>
      </c>
      <c r="M3" s="514" t="s">
        <v>1008</v>
      </c>
      <c r="N3" s="515" t="s">
        <v>1009</v>
      </c>
      <c r="O3" s="516" t="s">
        <v>1010</v>
      </c>
      <c r="P3" s="517" t="s">
        <v>1011</v>
      </c>
      <c r="Q3" s="518" t="s">
        <v>1012</v>
      </c>
      <c r="R3" s="506" t="s">
        <v>1022</v>
      </c>
      <c r="S3" s="457" t="s">
        <v>142</v>
      </c>
      <c r="U3" s="14" t="s">
        <v>539</v>
      </c>
      <c r="V3" s="14" t="s">
        <v>537</v>
      </c>
      <c r="W3" s="14" t="s">
        <v>662</v>
      </c>
      <c r="X3" s="14" t="s">
        <v>531</v>
      </c>
      <c r="Y3" s="14" t="s">
        <v>950</v>
      </c>
      <c r="Z3" s="14" t="s">
        <v>530</v>
      </c>
      <c r="AA3" s="14" t="s">
        <v>948</v>
      </c>
      <c r="AB3" s="14" t="s">
        <v>535</v>
      </c>
      <c r="AC3" s="14" t="s">
        <v>658</v>
      </c>
      <c r="AD3" s="20" t="s">
        <v>533</v>
      </c>
      <c r="AE3" s="20" t="s">
        <v>891</v>
      </c>
      <c r="AF3" s="14" t="s">
        <v>659</v>
      </c>
      <c r="AG3" s="14" t="s">
        <v>660</v>
      </c>
      <c r="AH3" s="14" t="s">
        <v>999</v>
      </c>
      <c r="AI3" s="14" t="s">
        <v>704</v>
      </c>
      <c r="AJ3" s="14" t="s">
        <v>141</v>
      </c>
    </row>
    <row r="4" spans="1:51" ht="14">
      <c r="A4" s="402" t="s">
        <v>531</v>
      </c>
      <c r="B4" s="403">
        <v>15037984</v>
      </c>
      <c r="C4" s="403">
        <v>88</v>
      </c>
      <c r="D4" s="402" t="s">
        <v>652</v>
      </c>
      <c r="E4" s="402" t="s">
        <v>653</v>
      </c>
      <c r="F4" s="483">
        <v>27346.46</v>
      </c>
      <c r="G4" s="528">
        <v>26754.18</v>
      </c>
      <c r="H4" s="530">
        <v>35081.370000000003</v>
      </c>
      <c r="I4" s="533">
        <v>47560.480000000003</v>
      </c>
      <c r="J4" s="536">
        <v>35648.07</v>
      </c>
      <c r="K4" s="537">
        <v>19800.669999999998</v>
      </c>
      <c r="L4" s="530">
        <v>17111.78</v>
      </c>
      <c r="M4" s="530">
        <v>12721.32</v>
      </c>
      <c r="N4" s="437">
        <v>25161.18</v>
      </c>
      <c r="O4" s="483">
        <v>39340.910000000003</v>
      </c>
      <c r="P4" s="483">
        <v>23414.81</v>
      </c>
      <c r="Q4" s="482"/>
      <c r="R4" s="412">
        <f>+SUM(L4:Q4)</f>
        <v>117750</v>
      </c>
      <c r="S4" s="456">
        <f>+R4/6</f>
        <v>19625</v>
      </c>
      <c r="U4" s="9">
        <f>+IF($A4=U$3,$C4,0)</f>
        <v>0</v>
      </c>
      <c r="V4" s="9">
        <f t="shared" ref="V4:AI19" si="2">+IF($A4=V$3,$C4,0)</f>
        <v>0</v>
      </c>
      <c r="W4" s="9">
        <f t="shared" si="2"/>
        <v>0</v>
      </c>
      <c r="X4" s="9">
        <f t="shared" si="2"/>
        <v>88</v>
      </c>
      <c r="Y4" s="9">
        <f t="shared" si="2"/>
        <v>0</v>
      </c>
      <c r="Z4" s="9">
        <f t="shared" si="2"/>
        <v>0</v>
      </c>
      <c r="AA4" s="9">
        <f t="shared" si="2"/>
        <v>0</v>
      </c>
      <c r="AB4" s="9">
        <f t="shared" si="2"/>
        <v>0</v>
      </c>
      <c r="AC4" s="9">
        <f t="shared" si="2"/>
        <v>0</v>
      </c>
      <c r="AD4" s="9">
        <f t="shared" si="2"/>
        <v>0</v>
      </c>
      <c r="AE4" s="9">
        <f t="shared" si="2"/>
        <v>0</v>
      </c>
      <c r="AF4" s="9">
        <f t="shared" si="2"/>
        <v>0</v>
      </c>
      <c r="AG4" s="9">
        <f t="shared" si="2"/>
        <v>0</v>
      </c>
      <c r="AH4" s="9">
        <f t="shared" si="2"/>
        <v>0</v>
      </c>
      <c r="AI4" s="9">
        <f t="shared" si="2"/>
        <v>0</v>
      </c>
      <c r="AJ4" s="365">
        <f t="shared" ref="AJ4:AJ65" si="3">+SUM(U4:AI4)</f>
        <v>88</v>
      </c>
      <c r="AK4" s="460">
        <f>+AJ4-C4</f>
        <v>0</v>
      </c>
    </row>
    <row r="5" spans="1:51" ht="14">
      <c r="A5" s="402" t="s">
        <v>662</v>
      </c>
      <c r="B5" s="404">
        <v>15066057</v>
      </c>
      <c r="C5" s="404">
        <v>176</v>
      </c>
      <c r="D5" s="405"/>
      <c r="E5" s="405" t="s">
        <v>997</v>
      </c>
      <c r="F5" s="483">
        <v>15974.33</v>
      </c>
      <c r="G5" s="528">
        <v>12824.38</v>
      </c>
      <c r="H5" s="530">
        <v>17253.66</v>
      </c>
      <c r="I5" s="533">
        <v>16161.86</v>
      </c>
      <c r="J5" s="533">
        <v>12753.79</v>
      </c>
      <c r="K5" s="537">
        <v>8712.58</v>
      </c>
      <c r="L5" s="501">
        <v>5818.64</v>
      </c>
      <c r="M5" s="543">
        <v>6856.63</v>
      </c>
      <c r="N5" s="530">
        <v>15178.98</v>
      </c>
      <c r="O5" s="546">
        <v>13684.75</v>
      </c>
      <c r="P5" s="549">
        <v>9787.1200000000008</v>
      </c>
      <c r="Q5" s="482">
        <v>15608.83</v>
      </c>
      <c r="R5" s="412">
        <f t="shared" ref="R5:R68" si="4">+SUM(L5:Q5)</f>
        <v>66934.95</v>
      </c>
      <c r="S5" s="456">
        <f t="shared" ref="S5:S68" si="5">+R5/6</f>
        <v>11155.824999999999</v>
      </c>
      <c r="U5" s="9">
        <f t="shared" ref="U5:AI35" si="6">+IF($A5=U$3,$C5,0)</f>
        <v>0</v>
      </c>
      <c r="V5" s="9">
        <f t="shared" si="2"/>
        <v>0</v>
      </c>
      <c r="W5" s="9">
        <f t="shared" si="2"/>
        <v>176</v>
      </c>
      <c r="X5" s="9">
        <f t="shared" si="2"/>
        <v>0</v>
      </c>
      <c r="Y5" s="9">
        <f t="shared" si="2"/>
        <v>0</v>
      </c>
      <c r="Z5" s="9">
        <f t="shared" si="2"/>
        <v>0</v>
      </c>
      <c r="AA5" s="9">
        <f t="shared" si="2"/>
        <v>0</v>
      </c>
      <c r="AB5" s="9">
        <f t="shared" si="2"/>
        <v>0</v>
      </c>
      <c r="AC5" s="9">
        <f t="shared" si="2"/>
        <v>0</v>
      </c>
      <c r="AD5" s="9">
        <f t="shared" si="2"/>
        <v>0</v>
      </c>
      <c r="AE5" s="9">
        <f t="shared" si="2"/>
        <v>0</v>
      </c>
      <c r="AF5" s="9">
        <f t="shared" si="2"/>
        <v>0</v>
      </c>
      <c r="AG5" s="9">
        <f t="shared" si="2"/>
        <v>0</v>
      </c>
      <c r="AH5" s="9">
        <f t="shared" si="2"/>
        <v>0</v>
      </c>
      <c r="AI5" s="9">
        <f t="shared" si="2"/>
        <v>0</v>
      </c>
      <c r="AJ5" s="365">
        <f t="shared" si="3"/>
        <v>176</v>
      </c>
      <c r="AK5" s="460">
        <f t="shared" ref="AK5:AK65" si="7">+AJ5-C5</f>
        <v>0</v>
      </c>
    </row>
    <row r="6" spans="1:51" ht="14">
      <c r="A6" s="402" t="s">
        <v>705</v>
      </c>
      <c r="B6" s="404">
        <v>15080802</v>
      </c>
      <c r="C6" s="404"/>
      <c r="D6" s="405"/>
      <c r="E6" s="405" t="s">
        <v>1021</v>
      </c>
      <c r="F6" s="490"/>
      <c r="G6" s="490"/>
      <c r="H6" s="490"/>
      <c r="I6" s="490"/>
      <c r="J6" s="490"/>
      <c r="K6" s="490"/>
      <c r="L6" s="490"/>
      <c r="M6" s="490"/>
      <c r="N6" s="490"/>
      <c r="O6" s="490"/>
      <c r="P6" s="490"/>
      <c r="Q6" s="482">
        <v>354.43</v>
      </c>
      <c r="R6" s="412">
        <f t="shared" si="4"/>
        <v>354.43</v>
      </c>
      <c r="S6" s="456">
        <f t="shared" si="5"/>
        <v>59.071666666666665</v>
      </c>
      <c r="U6" s="9">
        <f t="shared" si="6"/>
        <v>0</v>
      </c>
      <c r="V6" s="9">
        <f t="shared" si="2"/>
        <v>0</v>
      </c>
      <c r="W6" s="9">
        <f t="shared" si="2"/>
        <v>0</v>
      </c>
      <c r="X6" s="9">
        <f t="shared" si="2"/>
        <v>0</v>
      </c>
      <c r="Y6" s="9">
        <f t="shared" si="2"/>
        <v>0</v>
      </c>
      <c r="Z6" s="9">
        <f t="shared" si="2"/>
        <v>0</v>
      </c>
      <c r="AA6" s="9">
        <f t="shared" si="2"/>
        <v>0</v>
      </c>
      <c r="AB6" s="9">
        <f t="shared" si="2"/>
        <v>0</v>
      </c>
      <c r="AC6" s="9">
        <f t="shared" si="2"/>
        <v>0</v>
      </c>
      <c r="AD6" s="9">
        <f t="shared" si="2"/>
        <v>0</v>
      </c>
      <c r="AE6" s="9">
        <f t="shared" si="2"/>
        <v>0</v>
      </c>
      <c r="AF6" s="9">
        <f t="shared" si="2"/>
        <v>0</v>
      </c>
      <c r="AG6" s="9">
        <f t="shared" si="2"/>
        <v>0</v>
      </c>
      <c r="AH6" s="9">
        <f t="shared" si="2"/>
        <v>0</v>
      </c>
      <c r="AI6" s="9">
        <f t="shared" si="2"/>
        <v>0</v>
      </c>
      <c r="AJ6" s="365">
        <f>+SUM(U6:AI6)</f>
        <v>0</v>
      </c>
      <c r="AK6" s="460"/>
    </row>
    <row r="7" spans="1:51" ht="14">
      <c r="A7" s="402" t="s">
        <v>1000</v>
      </c>
      <c r="B7" s="404">
        <v>15036764</v>
      </c>
      <c r="C7" s="404"/>
      <c r="D7" s="405"/>
      <c r="E7" s="405" t="s">
        <v>951</v>
      </c>
      <c r="F7" s="483">
        <v>136051.14000000001</v>
      </c>
      <c r="G7" s="528">
        <v>151147.17000000001</v>
      </c>
      <c r="H7" s="530">
        <v>114162.09</v>
      </c>
      <c r="I7" s="533">
        <v>112933.75999999999</v>
      </c>
      <c r="J7" s="536">
        <v>83962.59</v>
      </c>
      <c r="K7" s="537">
        <v>109296.08</v>
      </c>
      <c r="L7" s="501">
        <v>155626.44</v>
      </c>
      <c r="M7" s="543">
        <v>159243.20000000001</v>
      </c>
      <c r="N7" s="546">
        <v>163655.13</v>
      </c>
      <c r="O7" s="546">
        <v>132919.03</v>
      </c>
      <c r="P7" s="549">
        <v>143914.95000000001</v>
      </c>
      <c r="Q7" s="482">
        <v>152008.81</v>
      </c>
      <c r="R7" s="412">
        <f t="shared" si="4"/>
        <v>907367.56</v>
      </c>
      <c r="S7" s="456">
        <f t="shared" si="5"/>
        <v>151227.92666666667</v>
      </c>
      <c r="U7" s="9">
        <f t="shared" si="6"/>
        <v>0</v>
      </c>
      <c r="V7" s="9">
        <f t="shared" si="2"/>
        <v>0</v>
      </c>
      <c r="W7" s="9">
        <f t="shared" si="2"/>
        <v>0</v>
      </c>
      <c r="X7" s="9">
        <f t="shared" si="2"/>
        <v>0</v>
      </c>
      <c r="Y7" s="9">
        <f t="shared" si="2"/>
        <v>0</v>
      </c>
      <c r="Z7" s="9">
        <f t="shared" si="2"/>
        <v>0</v>
      </c>
      <c r="AA7" s="9">
        <f t="shared" si="2"/>
        <v>0</v>
      </c>
      <c r="AB7" s="9">
        <f t="shared" si="2"/>
        <v>0</v>
      </c>
      <c r="AC7" s="9">
        <f t="shared" si="2"/>
        <v>0</v>
      </c>
      <c r="AD7" s="9">
        <f t="shared" si="2"/>
        <v>0</v>
      </c>
      <c r="AE7" s="9">
        <f t="shared" si="2"/>
        <v>0</v>
      </c>
      <c r="AF7" s="9">
        <f t="shared" si="2"/>
        <v>0</v>
      </c>
      <c r="AG7" s="9">
        <f t="shared" si="2"/>
        <v>0</v>
      </c>
      <c r="AH7" s="9">
        <f t="shared" si="2"/>
        <v>0</v>
      </c>
      <c r="AI7" s="9">
        <f t="shared" si="2"/>
        <v>0</v>
      </c>
      <c r="AJ7" s="365">
        <f t="shared" si="3"/>
        <v>0</v>
      </c>
      <c r="AK7" s="460">
        <f t="shared" si="7"/>
        <v>0</v>
      </c>
      <c r="AM7" t="s">
        <v>957</v>
      </c>
      <c r="AN7" s="458">
        <f>+U2</f>
        <v>0</v>
      </c>
      <c r="AO7" s="456">
        <f>+AN7*11.764706</f>
        <v>0</v>
      </c>
      <c r="AQ7" s="456">
        <f>+AN7*181</f>
        <v>0</v>
      </c>
      <c r="AS7" s="458"/>
      <c r="AT7" s="456">
        <f>+AS7*11.764706</f>
        <v>0</v>
      </c>
      <c r="AU7" s="456">
        <f>+AT7*0.085</f>
        <v>0</v>
      </c>
      <c r="AW7" s="460">
        <f>+AO7+AT7</f>
        <v>0</v>
      </c>
    </row>
    <row r="8" spans="1:51" ht="14">
      <c r="A8" s="402" t="s">
        <v>705</v>
      </c>
      <c r="B8" s="404">
        <v>15037169</v>
      </c>
      <c r="C8" s="404">
        <v>37</v>
      </c>
      <c r="D8" s="405"/>
      <c r="E8" s="405" t="s">
        <v>939</v>
      </c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2"/>
      <c r="R8" s="412">
        <f t="shared" si="4"/>
        <v>0</v>
      </c>
      <c r="S8" s="456">
        <f t="shared" si="5"/>
        <v>0</v>
      </c>
      <c r="U8" s="9">
        <f t="shared" si="6"/>
        <v>0</v>
      </c>
      <c r="V8" s="9">
        <f t="shared" si="2"/>
        <v>0</v>
      </c>
      <c r="W8" s="9">
        <f t="shared" si="2"/>
        <v>0</v>
      </c>
      <c r="X8" s="9">
        <f t="shared" si="2"/>
        <v>0</v>
      </c>
      <c r="Y8" s="9">
        <f t="shared" si="2"/>
        <v>0</v>
      </c>
      <c r="Z8" s="9">
        <f t="shared" si="2"/>
        <v>0</v>
      </c>
      <c r="AA8" s="9">
        <f t="shared" si="2"/>
        <v>0</v>
      </c>
      <c r="AB8" s="9">
        <f t="shared" si="2"/>
        <v>0</v>
      </c>
      <c r="AC8" s="9">
        <f t="shared" si="2"/>
        <v>0</v>
      </c>
      <c r="AD8" s="9">
        <f t="shared" si="2"/>
        <v>0</v>
      </c>
      <c r="AE8" s="9">
        <f t="shared" si="2"/>
        <v>0</v>
      </c>
      <c r="AF8" s="9">
        <f t="shared" si="2"/>
        <v>0</v>
      </c>
      <c r="AG8" s="9">
        <f t="shared" si="2"/>
        <v>0</v>
      </c>
      <c r="AH8" s="9">
        <f t="shared" si="2"/>
        <v>0</v>
      </c>
      <c r="AI8" s="9">
        <f t="shared" si="2"/>
        <v>37</v>
      </c>
      <c r="AJ8" s="365">
        <f t="shared" si="3"/>
        <v>37</v>
      </c>
      <c r="AK8" s="460">
        <f t="shared" si="7"/>
        <v>0</v>
      </c>
      <c r="AM8" t="s">
        <v>958</v>
      </c>
      <c r="AN8" s="458">
        <f>+V2</f>
        <v>501</v>
      </c>
      <c r="AO8" s="456">
        <f t="shared" ref="AO8:AO19" si="8">+AN8*11.764706</f>
        <v>5894.117706</v>
      </c>
      <c r="AP8" s="456">
        <f>+AN8*181</f>
        <v>90681</v>
      </c>
      <c r="AQ8" s="456">
        <v>7378835</v>
      </c>
      <c r="AR8" s="525">
        <f>+AQ8/$AQ$20</f>
        <v>9.2789918737779392E-2</v>
      </c>
      <c r="AS8" s="458">
        <f>+'2020'!AE118</f>
        <v>274233.39</v>
      </c>
      <c r="AT8" s="456">
        <f t="shared" ref="AT8:AT19" si="9">+AS8*11.764706</f>
        <v>3226275.2087333403</v>
      </c>
      <c r="AU8" s="456">
        <f t="shared" ref="AU8:AU19" si="10">+AT8*0.085</f>
        <v>274233.39274233393</v>
      </c>
      <c r="AW8" s="460">
        <f t="shared" ref="AW8:AW19" si="11">+AO8+AT8</f>
        <v>3232169.3264393401</v>
      </c>
      <c r="AY8" s="458">
        <f>+AN8+AS8</f>
        <v>274734.39</v>
      </c>
    </row>
    <row r="9" spans="1:51" ht="14">
      <c r="A9" s="402" t="s">
        <v>533</v>
      </c>
      <c r="B9" s="404">
        <v>15076160</v>
      </c>
      <c r="C9" s="404"/>
      <c r="D9" s="405"/>
      <c r="E9" s="405" t="s">
        <v>1016</v>
      </c>
      <c r="F9" s="482"/>
      <c r="G9" s="482"/>
      <c r="H9" s="482"/>
      <c r="I9" s="482"/>
      <c r="J9" s="530">
        <v>971</v>
      </c>
      <c r="K9" s="530">
        <v>1068</v>
      </c>
      <c r="L9" s="530">
        <f>7702</f>
        <v>7702</v>
      </c>
      <c r="M9" s="530">
        <f>7284</f>
        <v>7284</v>
      </c>
      <c r="N9" s="530">
        <f>5322</f>
        <v>5322</v>
      </c>
      <c r="O9" s="546">
        <f>1016.75+872.08+469.74</f>
        <v>2358.5699999999997</v>
      </c>
      <c r="P9" s="482"/>
      <c r="Q9" s="482"/>
      <c r="R9" s="412">
        <f t="shared" si="4"/>
        <v>22666.57</v>
      </c>
      <c r="S9" s="456">
        <f t="shared" si="5"/>
        <v>3777.7616666666668</v>
      </c>
      <c r="U9" s="9">
        <f t="shared" si="6"/>
        <v>0</v>
      </c>
      <c r="V9" s="9">
        <f t="shared" si="2"/>
        <v>0</v>
      </c>
      <c r="W9" s="9">
        <f t="shared" si="2"/>
        <v>0</v>
      </c>
      <c r="X9" s="9">
        <f t="shared" si="2"/>
        <v>0</v>
      </c>
      <c r="Y9" s="9">
        <f t="shared" si="2"/>
        <v>0</v>
      </c>
      <c r="Z9" s="9">
        <f t="shared" si="2"/>
        <v>0</v>
      </c>
      <c r="AA9" s="9">
        <f t="shared" si="2"/>
        <v>0</v>
      </c>
      <c r="AB9" s="9">
        <f t="shared" si="2"/>
        <v>0</v>
      </c>
      <c r="AC9" s="9">
        <f t="shared" si="2"/>
        <v>0</v>
      </c>
      <c r="AD9" s="9">
        <f t="shared" si="2"/>
        <v>0</v>
      </c>
      <c r="AE9" s="9">
        <f t="shared" si="2"/>
        <v>0</v>
      </c>
      <c r="AF9" s="9">
        <f t="shared" si="2"/>
        <v>0</v>
      </c>
      <c r="AG9" s="9">
        <f t="shared" si="2"/>
        <v>0</v>
      </c>
      <c r="AH9" s="9">
        <f t="shared" si="2"/>
        <v>0</v>
      </c>
      <c r="AI9" s="9">
        <f t="shared" si="2"/>
        <v>0</v>
      </c>
      <c r="AJ9" s="365">
        <f t="shared" si="3"/>
        <v>0</v>
      </c>
      <c r="AK9" s="460"/>
      <c r="AN9" s="458"/>
      <c r="AS9" s="458"/>
      <c r="AW9" s="460"/>
      <c r="AY9" s="458"/>
    </row>
    <row r="10" spans="1:51" ht="14">
      <c r="A10" s="402" t="s">
        <v>530</v>
      </c>
      <c r="B10" s="404">
        <v>15071882</v>
      </c>
      <c r="C10" s="404">
        <v>95</v>
      </c>
      <c r="D10" s="405"/>
      <c r="E10" s="405" t="s">
        <v>973</v>
      </c>
      <c r="F10" s="483">
        <v>17324.62</v>
      </c>
      <c r="G10" s="528">
        <v>13987.4</v>
      </c>
      <c r="H10" s="530">
        <v>16710.060000000001</v>
      </c>
      <c r="I10" s="533">
        <v>24008.16</v>
      </c>
      <c r="J10" s="536">
        <v>16876.759999999998</v>
      </c>
      <c r="K10" s="537">
        <v>11456.38</v>
      </c>
      <c r="L10" s="501">
        <v>6946.62</v>
      </c>
      <c r="M10" s="543">
        <v>9360.69</v>
      </c>
      <c r="N10" s="530">
        <v>15736.96</v>
      </c>
      <c r="O10" s="546">
        <v>18913.509999999998</v>
      </c>
      <c r="P10" s="549">
        <v>17124.349999999999</v>
      </c>
      <c r="Q10" s="482">
        <v>17486.47</v>
      </c>
      <c r="R10" s="412">
        <f t="shared" si="4"/>
        <v>85568.6</v>
      </c>
      <c r="S10" s="456">
        <f t="shared" si="5"/>
        <v>14261.433333333334</v>
      </c>
      <c r="U10" s="9">
        <f t="shared" si="6"/>
        <v>0</v>
      </c>
      <c r="V10" s="9">
        <f t="shared" si="2"/>
        <v>0</v>
      </c>
      <c r="W10" s="9">
        <f t="shared" si="2"/>
        <v>0</v>
      </c>
      <c r="X10" s="9">
        <f t="shared" si="2"/>
        <v>0</v>
      </c>
      <c r="Y10" s="9">
        <f t="shared" si="2"/>
        <v>0</v>
      </c>
      <c r="Z10" s="9">
        <f t="shared" si="2"/>
        <v>95</v>
      </c>
      <c r="AA10" s="9">
        <f t="shared" si="2"/>
        <v>0</v>
      </c>
      <c r="AB10" s="9">
        <f t="shared" si="2"/>
        <v>0</v>
      </c>
      <c r="AC10" s="9">
        <f t="shared" si="2"/>
        <v>0</v>
      </c>
      <c r="AD10" s="9">
        <f t="shared" si="2"/>
        <v>0</v>
      </c>
      <c r="AE10" s="9">
        <f t="shared" si="2"/>
        <v>0</v>
      </c>
      <c r="AF10" s="9">
        <f t="shared" si="2"/>
        <v>0</v>
      </c>
      <c r="AG10" s="9">
        <f t="shared" si="2"/>
        <v>0</v>
      </c>
      <c r="AH10" s="9">
        <f t="shared" si="2"/>
        <v>0</v>
      </c>
      <c r="AI10" s="9">
        <f t="shared" si="2"/>
        <v>0</v>
      </c>
      <c r="AJ10" s="365">
        <f t="shared" si="3"/>
        <v>95</v>
      </c>
      <c r="AK10" s="460">
        <f t="shared" si="7"/>
        <v>0</v>
      </c>
      <c r="AN10" s="458"/>
      <c r="AS10" s="458"/>
      <c r="AW10" s="460"/>
      <c r="AY10" s="458"/>
    </row>
    <row r="11" spans="1:51" ht="14">
      <c r="A11" s="402" t="s">
        <v>533</v>
      </c>
      <c r="B11" s="403">
        <v>15008670</v>
      </c>
      <c r="C11" s="403">
        <v>100</v>
      </c>
      <c r="D11" s="402" t="s">
        <v>114</v>
      </c>
      <c r="E11" s="402" t="s">
        <v>114</v>
      </c>
      <c r="F11" s="483">
        <v>9545.51</v>
      </c>
      <c r="G11" s="528">
        <v>11425.18</v>
      </c>
      <c r="H11" s="530">
        <v>6360.33</v>
      </c>
      <c r="I11" s="533">
        <v>9605.14</v>
      </c>
      <c r="J11" s="536">
        <v>9468.67</v>
      </c>
      <c r="K11" s="537">
        <v>5799.75</v>
      </c>
      <c r="L11" s="501">
        <v>3830.26</v>
      </c>
      <c r="M11" s="543">
        <v>4015.54</v>
      </c>
      <c r="N11" s="530">
        <v>6434.13</v>
      </c>
      <c r="O11" s="546">
        <v>4730.82</v>
      </c>
      <c r="P11" s="549">
        <v>5562.02</v>
      </c>
      <c r="Q11" s="482">
        <v>6513.77</v>
      </c>
      <c r="R11" s="412">
        <f t="shared" si="4"/>
        <v>31086.54</v>
      </c>
      <c r="S11" s="456">
        <f t="shared" si="5"/>
        <v>5181.09</v>
      </c>
      <c r="U11" s="9">
        <f t="shared" si="6"/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0</v>
      </c>
      <c r="AC11" s="9">
        <f t="shared" si="2"/>
        <v>0</v>
      </c>
      <c r="AD11" s="9">
        <f t="shared" si="2"/>
        <v>100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365">
        <f t="shared" si="3"/>
        <v>100</v>
      </c>
      <c r="AK11" s="460">
        <f t="shared" si="7"/>
        <v>0</v>
      </c>
      <c r="AM11" t="s">
        <v>959</v>
      </c>
      <c r="AN11" s="458">
        <f>+W2</f>
        <v>476</v>
      </c>
      <c r="AO11" s="456">
        <f t="shared" si="8"/>
        <v>5600.0000559999999</v>
      </c>
      <c r="AP11" s="456">
        <f t="shared" ref="AP11:AP17" si="12">+AN11*181</f>
        <v>86156</v>
      </c>
      <c r="AQ11" s="456">
        <v>2484622</v>
      </c>
      <c r="AR11" s="525">
        <f t="shared" ref="AR11:AR19" si="13">+AQ11/$AQ$20</f>
        <v>3.1244481476289811E-2</v>
      </c>
      <c r="AS11" s="458">
        <f>+'2020'!AF118</f>
        <v>92074.87000000001</v>
      </c>
      <c r="AT11" s="456">
        <f t="shared" si="9"/>
        <v>1083233.7755382201</v>
      </c>
      <c r="AU11" s="456">
        <f t="shared" si="10"/>
        <v>92074.870920748712</v>
      </c>
      <c r="AW11" s="460">
        <f t="shared" si="11"/>
        <v>1088833.77559422</v>
      </c>
      <c r="AY11" s="458">
        <f t="shared" ref="AY11:AY19" si="14">+AN11+AS11</f>
        <v>92550.87000000001</v>
      </c>
    </row>
    <row r="12" spans="1:51" ht="14">
      <c r="A12" s="402" t="s">
        <v>664</v>
      </c>
      <c r="B12" s="403">
        <v>70000000</v>
      </c>
      <c r="C12" s="403">
        <v>42</v>
      </c>
      <c r="D12" s="402" t="s">
        <v>229</v>
      </c>
      <c r="E12" s="402" t="s">
        <v>229</v>
      </c>
      <c r="F12" s="483">
        <v>1998.01</v>
      </c>
      <c r="G12" s="528">
        <v>2021.47</v>
      </c>
      <c r="H12" s="530">
        <v>1853.43</v>
      </c>
      <c r="I12" s="533">
        <v>1761.63</v>
      </c>
      <c r="J12" s="536">
        <v>1948.2</v>
      </c>
      <c r="K12" s="537">
        <v>2076.5500000000002</v>
      </c>
      <c r="L12" s="501">
        <v>2029.21</v>
      </c>
      <c r="M12" s="543">
        <v>1836.26</v>
      </c>
      <c r="N12" s="530">
        <v>1823.08</v>
      </c>
      <c r="O12" s="546">
        <v>1757.38</v>
      </c>
      <c r="P12" s="549">
        <v>1770.98</v>
      </c>
      <c r="Q12" s="482">
        <v>1849.6</v>
      </c>
      <c r="R12" s="412">
        <f t="shared" si="4"/>
        <v>11066.51</v>
      </c>
      <c r="S12" s="456">
        <f t="shared" si="5"/>
        <v>1844.4183333333333</v>
      </c>
      <c r="U12" s="9">
        <f t="shared" si="6"/>
        <v>0</v>
      </c>
      <c r="V12" s="9">
        <f t="shared" si="2"/>
        <v>0</v>
      </c>
      <c r="W12" s="9">
        <f t="shared" si="2"/>
        <v>0</v>
      </c>
      <c r="X12" s="9">
        <f t="shared" si="2"/>
        <v>0</v>
      </c>
      <c r="Y12" s="9">
        <f t="shared" si="2"/>
        <v>0</v>
      </c>
      <c r="Z12" s="9">
        <f t="shared" si="2"/>
        <v>0</v>
      </c>
      <c r="AA12" s="9">
        <f t="shared" si="2"/>
        <v>0</v>
      </c>
      <c r="AB12" s="9">
        <f t="shared" si="2"/>
        <v>0</v>
      </c>
      <c r="AC12" s="9">
        <f t="shared" si="2"/>
        <v>0</v>
      </c>
      <c r="AD12" s="9">
        <f t="shared" si="2"/>
        <v>0</v>
      </c>
      <c r="AE12" s="9">
        <f t="shared" si="2"/>
        <v>0</v>
      </c>
      <c r="AF12" s="9">
        <f t="shared" si="2"/>
        <v>0</v>
      </c>
      <c r="AG12" s="9">
        <f t="shared" si="2"/>
        <v>42</v>
      </c>
      <c r="AH12" s="9">
        <f t="shared" si="2"/>
        <v>0</v>
      </c>
      <c r="AI12" s="9">
        <f t="shared" si="2"/>
        <v>0</v>
      </c>
      <c r="AJ12" s="365">
        <f t="shared" si="3"/>
        <v>42</v>
      </c>
      <c r="AK12" s="460">
        <f t="shared" si="7"/>
        <v>0</v>
      </c>
      <c r="AM12" t="s">
        <v>960</v>
      </c>
      <c r="AN12" s="458">
        <f>+X2</f>
        <v>1199</v>
      </c>
      <c r="AO12" s="456">
        <f t="shared" si="8"/>
        <v>14105.882493999999</v>
      </c>
      <c r="AP12" s="456">
        <f t="shared" si="12"/>
        <v>217019</v>
      </c>
      <c r="AQ12" s="456">
        <v>21235529</v>
      </c>
      <c r="AR12" s="525">
        <f t="shared" si="13"/>
        <v>0.26703985253278567</v>
      </c>
      <c r="AS12" s="458">
        <f>+'2020'!AG118</f>
        <v>609502.32999999984</v>
      </c>
      <c r="AT12" s="456">
        <f t="shared" si="9"/>
        <v>7170615.7187649785</v>
      </c>
      <c r="AU12" s="456">
        <f t="shared" si="10"/>
        <v>609502.3360950232</v>
      </c>
      <c r="AW12" s="460">
        <f t="shared" si="11"/>
        <v>7184721.6012589782</v>
      </c>
      <c r="AY12" s="458">
        <f t="shared" si="14"/>
        <v>610701.32999999984</v>
      </c>
    </row>
    <row r="13" spans="1:51" ht="14">
      <c r="A13" s="402" t="s">
        <v>664</v>
      </c>
      <c r="B13" s="403">
        <v>15051606</v>
      </c>
      <c r="C13" s="403">
        <v>250</v>
      </c>
      <c r="D13" s="402" t="s">
        <v>639</v>
      </c>
      <c r="E13" s="402" t="s">
        <v>940</v>
      </c>
      <c r="F13" s="483">
        <v>49909.87</v>
      </c>
      <c r="G13" s="528">
        <v>48679.3</v>
      </c>
      <c r="H13" s="530">
        <v>56068.41</v>
      </c>
      <c r="I13" s="533">
        <v>82348.02</v>
      </c>
      <c r="J13" s="536">
        <v>63493.26</v>
      </c>
      <c r="K13" s="537">
        <v>22803.54</v>
      </c>
      <c r="L13" s="501">
        <v>22867.279999999999</v>
      </c>
      <c r="M13" s="543">
        <v>23164.09</v>
      </c>
      <c r="N13" s="530">
        <v>41750.07</v>
      </c>
      <c r="O13" s="546">
        <v>64609.45</v>
      </c>
      <c r="P13" s="551">
        <v>55960.2</v>
      </c>
      <c r="Q13" s="482">
        <v>50464.78</v>
      </c>
      <c r="R13" s="412">
        <f t="shared" si="4"/>
        <v>258815.87000000002</v>
      </c>
      <c r="S13" s="456">
        <f t="shared" si="5"/>
        <v>43135.97833333334</v>
      </c>
      <c r="U13" s="9">
        <f t="shared" si="6"/>
        <v>0</v>
      </c>
      <c r="V13" s="9">
        <f t="shared" si="2"/>
        <v>0</v>
      </c>
      <c r="W13" s="9">
        <f t="shared" si="2"/>
        <v>0</v>
      </c>
      <c r="X13" s="9">
        <f t="shared" si="2"/>
        <v>0</v>
      </c>
      <c r="Y13" s="9">
        <f t="shared" si="2"/>
        <v>0</v>
      </c>
      <c r="Z13" s="9">
        <f t="shared" si="2"/>
        <v>0</v>
      </c>
      <c r="AA13" s="9">
        <f t="shared" si="2"/>
        <v>0</v>
      </c>
      <c r="AB13" s="9">
        <f t="shared" si="2"/>
        <v>0</v>
      </c>
      <c r="AC13" s="9">
        <f t="shared" si="2"/>
        <v>0</v>
      </c>
      <c r="AD13" s="9">
        <f t="shared" si="2"/>
        <v>0</v>
      </c>
      <c r="AE13" s="9">
        <f t="shared" si="2"/>
        <v>0</v>
      </c>
      <c r="AF13" s="9">
        <f t="shared" si="2"/>
        <v>0</v>
      </c>
      <c r="AG13" s="9">
        <f t="shared" si="2"/>
        <v>250</v>
      </c>
      <c r="AH13" s="9">
        <f t="shared" si="2"/>
        <v>0</v>
      </c>
      <c r="AI13" s="9">
        <f t="shared" si="2"/>
        <v>0</v>
      </c>
      <c r="AJ13" s="365">
        <f t="shared" si="3"/>
        <v>250</v>
      </c>
      <c r="AK13" s="460">
        <f t="shared" si="7"/>
        <v>0</v>
      </c>
      <c r="AM13" t="s">
        <v>663</v>
      </c>
      <c r="AN13" s="458">
        <f>+AB2</f>
        <v>1734</v>
      </c>
      <c r="AO13" s="456">
        <f t="shared" si="8"/>
        <v>20400.000204</v>
      </c>
      <c r="AP13" s="456">
        <f t="shared" si="12"/>
        <v>313854</v>
      </c>
      <c r="AQ13" s="456">
        <v>17922362</v>
      </c>
      <c r="AR13" s="525">
        <f t="shared" si="13"/>
        <v>0.22537629769049794</v>
      </c>
      <c r="AS13" s="458">
        <f>+'2020'!AK118</f>
        <v>665033.63000000012</v>
      </c>
      <c r="AT13" s="456">
        <f t="shared" si="9"/>
        <v>7823925.1370627815</v>
      </c>
      <c r="AU13" s="456">
        <f t="shared" si="10"/>
        <v>665033.63665033644</v>
      </c>
      <c r="AW13" s="460">
        <f t="shared" si="11"/>
        <v>7844325.1372667812</v>
      </c>
      <c r="AY13" s="458">
        <f t="shared" si="14"/>
        <v>666767.63000000012</v>
      </c>
    </row>
    <row r="14" spans="1:51" ht="14">
      <c r="A14" s="402" t="s">
        <v>535</v>
      </c>
      <c r="B14" s="403">
        <v>7003201</v>
      </c>
      <c r="C14" s="403">
        <v>80</v>
      </c>
      <c r="D14" s="402" t="s">
        <v>525</v>
      </c>
      <c r="E14" s="402" t="s">
        <v>385</v>
      </c>
      <c r="F14" s="483">
        <v>12794.63</v>
      </c>
      <c r="G14" s="528">
        <v>13768.76</v>
      </c>
      <c r="H14" s="530">
        <v>13838.39</v>
      </c>
      <c r="I14" s="533">
        <v>14688.4</v>
      </c>
      <c r="J14" s="536">
        <v>15112.42</v>
      </c>
      <c r="K14" s="537">
        <v>9179.9699999999993</v>
      </c>
      <c r="L14" s="501">
        <v>8404.14</v>
      </c>
      <c r="M14" s="543">
        <v>8206.7199999999993</v>
      </c>
      <c r="N14" s="530">
        <v>14370.35</v>
      </c>
      <c r="O14" s="546">
        <v>15291.61</v>
      </c>
      <c r="P14" s="549">
        <v>13081.42</v>
      </c>
      <c r="Q14" s="482">
        <v>13797.92</v>
      </c>
      <c r="R14" s="412">
        <f t="shared" si="4"/>
        <v>73152.160000000003</v>
      </c>
      <c r="S14" s="456">
        <f t="shared" si="5"/>
        <v>12192.026666666667</v>
      </c>
      <c r="U14" s="9">
        <f t="shared" si="6"/>
        <v>0</v>
      </c>
      <c r="V14" s="9">
        <f t="shared" si="2"/>
        <v>0</v>
      </c>
      <c r="W14" s="9">
        <f t="shared" si="2"/>
        <v>0</v>
      </c>
      <c r="X14" s="9">
        <f t="shared" si="2"/>
        <v>0</v>
      </c>
      <c r="Y14" s="9">
        <f t="shared" si="2"/>
        <v>0</v>
      </c>
      <c r="Z14" s="9">
        <f t="shared" si="2"/>
        <v>0</v>
      </c>
      <c r="AA14" s="9">
        <f t="shared" si="2"/>
        <v>0</v>
      </c>
      <c r="AB14" s="9">
        <f t="shared" si="2"/>
        <v>80</v>
      </c>
      <c r="AC14" s="9">
        <f t="shared" si="2"/>
        <v>0</v>
      </c>
      <c r="AD14" s="9">
        <f t="shared" si="2"/>
        <v>0</v>
      </c>
      <c r="AE14" s="9">
        <f t="shared" si="2"/>
        <v>0</v>
      </c>
      <c r="AF14" s="9">
        <f t="shared" si="2"/>
        <v>0</v>
      </c>
      <c r="AG14" s="9">
        <f t="shared" si="2"/>
        <v>0</v>
      </c>
      <c r="AH14" s="9">
        <f t="shared" si="2"/>
        <v>0</v>
      </c>
      <c r="AI14" s="9">
        <f t="shared" si="2"/>
        <v>0</v>
      </c>
      <c r="AJ14" s="365">
        <f t="shared" si="3"/>
        <v>80</v>
      </c>
      <c r="AK14" s="460">
        <f t="shared" si="7"/>
        <v>0</v>
      </c>
      <c r="AM14" t="s">
        <v>962</v>
      </c>
      <c r="AN14" s="458">
        <f>+AC2</f>
        <v>935</v>
      </c>
      <c r="AO14" s="456">
        <f t="shared" si="8"/>
        <v>11000.000110000001</v>
      </c>
      <c r="AP14" s="456">
        <f t="shared" si="12"/>
        <v>169235</v>
      </c>
      <c r="AQ14" s="456">
        <v>11443138</v>
      </c>
      <c r="AR14" s="525">
        <f t="shared" si="13"/>
        <v>0.1438991175605899</v>
      </c>
      <c r="AS14" s="458">
        <f>+'2020'!AL118</f>
        <v>370955.83</v>
      </c>
      <c r="AT14" s="456">
        <f t="shared" si="9"/>
        <v>4364186.2789359801</v>
      </c>
      <c r="AU14" s="456">
        <f t="shared" si="10"/>
        <v>370955.83370955836</v>
      </c>
      <c r="AW14" s="460">
        <f t="shared" si="11"/>
        <v>4375186.2790459804</v>
      </c>
      <c r="AY14" s="458">
        <f t="shared" si="14"/>
        <v>371890.83</v>
      </c>
    </row>
    <row r="15" spans="1:51" ht="14">
      <c r="A15" s="402" t="s">
        <v>660</v>
      </c>
      <c r="B15" s="403">
        <v>15070988</v>
      </c>
      <c r="C15" s="403">
        <v>105</v>
      </c>
      <c r="D15" s="402"/>
      <c r="E15" s="402" t="s">
        <v>974</v>
      </c>
      <c r="F15" s="483">
        <v>18173.57</v>
      </c>
      <c r="G15" s="528">
        <v>16868.93</v>
      </c>
      <c r="H15" s="530">
        <v>20506.189999999999</v>
      </c>
      <c r="I15" s="533">
        <v>30420.959999999999</v>
      </c>
      <c r="J15" s="536">
        <v>25137.09</v>
      </c>
      <c r="K15" s="537">
        <v>10842.36</v>
      </c>
      <c r="L15" s="501">
        <v>13430.41</v>
      </c>
      <c r="M15" s="543">
        <v>14530.84</v>
      </c>
      <c r="N15" s="530">
        <v>22923.91</v>
      </c>
      <c r="O15" s="546">
        <v>22702.74</v>
      </c>
      <c r="P15" s="549">
        <v>16466.990000000002</v>
      </c>
      <c r="Q15" s="482">
        <v>19886.259999999998</v>
      </c>
      <c r="R15" s="412">
        <f t="shared" si="4"/>
        <v>109941.15000000001</v>
      </c>
      <c r="S15" s="456">
        <f t="shared" si="5"/>
        <v>18323.525000000001</v>
      </c>
      <c r="U15" s="9">
        <f t="shared" si="6"/>
        <v>0</v>
      </c>
      <c r="V15" s="9">
        <f t="shared" si="2"/>
        <v>0</v>
      </c>
      <c r="W15" s="9">
        <f t="shared" si="2"/>
        <v>0</v>
      </c>
      <c r="X15" s="9">
        <f t="shared" si="2"/>
        <v>0</v>
      </c>
      <c r="Y15" s="9">
        <f t="shared" si="2"/>
        <v>0</v>
      </c>
      <c r="Z15" s="9">
        <f t="shared" si="2"/>
        <v>0</v>
      </c>
      <c r="AA15" s="9">
        <f t="shared" si="2"/>
        <v>0</v>
      </c>
      <c r="AB15" s="9">
        <f t="shared" si="2"/>
        <v>0</v>
      </c>
      <c r="AC15" s="9">
        <f t="shared" si="2"/>
        <v>0</v>
      </c>
      <c r="AD15" s="9">
        <f t="shared" si="2"/>
        <v>0</v>
      </c>
      <c r="AE15" s="9">
        <f t="shared" si="2"/>
        <v>0</v>
      </c>
      <c r="AF15" s="9">
        <f t="shared" si="2"/>
        <v>0</v>
      </c>
      <c r="AG15" s="9">
        <f t="shared" si="2"/>
        <v>105</v>
      </c>
      <c r="AH15" s="9">
        <f t="shared" si="2"/>
        <v>0</v>
      </c>
      <c r="AI15" s="9">
        <f t="shared" si="2"/>
        <v>0</v>
      </c>
      <c r="AJ15" s="365">
        <f t="shared" si="3"/>
        <v>105</v>
      </c>
      <c r="AK15" s="460">
        <f t="shared" si="7"/>
        <v>0</v>
      </c>
      <c r="AM15" t="s">
        <v>963</v>
      </c>
      <c r="AN15" s="458">
        <f>+AD2</f>
        <v>630</v>
      </c>
      <c r="AO15" s="456">
        <f t="shared" si="8"/>
        <v>7411.7647800000004</v>
      </c>
      <c r="AP15" s="456">
        <f>+AN15*181</f>
        <v>114030</v>
      </c>
      <c r="AQ15" s="456">
        <v>5466980</v>
      </c>
      <c r="AR15" s="525">
        <f t="shared" si="13"/>
        <v>6.8748065235374578E-2</v>
      </c>
      <c r="AS15" s="458"/>
      <c r="AW15" s="460"/>
      <c r="AY15" s="458"/>
    </row>
    <row r="16" spans="1:51" ht="14">
      <c r="A16" s="402" t="s">
        <v>662</v>
      </c>
      <c r="B16" s="404">
        <v>7000200</v>
      </c>
      <c r="C16" s="404">
        <v>47</v>
      </c>
      <c r="D16" s="405" t="s">
        <v>230</v>
      </c>
      <c r="E16" s="405" t="s">
        <v>230</v>
      </c>
      <c r="F16" s="482"/>
      <c r="G16" s="482"/>
      <c r="H16" s="482"/>
      <c r="I16" s="482"/>
      <c r="J16" s="482"/>
      <c r="K16" s="482"/>
      <c r="L16" s="482"/>
      <c r="M16" s="482"/>
      <c r="N16" s="482"/>
      <c r="O16" s="482"/>
      <c r="P16" s="482"/>
      <c r="Q16" s="482"/>
      <c r="R16" s="412">
        <f t="shared" si="4"/>
        <v>0</v>
      </c>
      <c r="S16" s="456">
        <f t="shared" si="5"/>
        <v>0</v>
      </c>
      <c r="U16" s="9">
        <f t="shared" si="6"/>
        <v>0</v>
      </c>
      <c r="V16" s="9">
        <f t="shared" si="2"/>
        <v>0</v>
      </c>
      <c r="W16" s="9">
        <f t="shared" si="2"/>
        <v>47</v>
      </c>
      <c r="X16" s="9">
        <f t="shared" si="2"/>
        <v>0</v>
      </c>
      <c r="Y16" s="9">
        <f t="shared" si="2"/>
        <v>0</v>
      </c>
      <c r="Z16" s="9">
        <f t="shared" si="2"/>
        <v>0</v>
      </c>
      <c r="AA16" s="9">
        <f t="shared" si="2"/>
        <v>0</v>
      </c>
      <c r="AB16" s="9">
        <f t="shared" si="2"/>
        <v>0</v>
      </c>
      <c r="AC16" s="9">
        <f t="shared" si="2"/>
        <v>0</v>
      </c>
      <c r="AD16" s="9">
        <f t="shared" si="2"/>
        <v>0</v>
      </c>
      <c r="AE16" s="9">
        <f t="shared" si="2"/>
        <v>0</v>
      </c>
      <c r="AF16" s="9">
        <f t="shared" si="2"/>
        <v>0</v>
      </c>
      <c r="AG16" s="9">
        <f t="shared" si="2"/>
        <v>0</v>
      </c>
      <c r="AH16" s="9">
        <f t="shared" si="2"/>
        <v>0</v>
      </c>
      <c r="AI16" s="9">
        <f t="shared" si="2"/>
        <v>0</v>
      </c>
      <c r="AJ16" s="365">
        <f t="shared" si="3"/>
        <v>47</v>
      </c>
      <c r="AK16" s="460">
        <f t="shared" si="7"/>
        <v>0</v>
      </c>
      <c r="AM16" t="s">
        <v>964</v>
      </c>
      <c r="AN16" s="458">
        <f>+AF2</f>
        <v>909</v>
      </c>
      <c r="AO16" s="456">
        <f t="shared" si="8"/>
        <v>10694.117754000001</v>
      </c>
      <c r="AP16" s="456">
        <f t="shared" si="12"/>
        <v>164529</v>
      </c>
      <c r="AQ16" s="456">
        <v>8008914</v>
      </c>
      <c r="AR16" s="525">
        <f t="shared" si="13"/>
        <v>0.10071325341166508</v>
      </c>
      <c r="AS16" s="458">
        <f>+'2020'!AM118</f>
        <v>191224.18</v>
      </c>
      <c r="AT16" s="456">
        <f t="shared" si="9"/>
        <v>2249696.25779108</v>
      </c>
      <c r="AU16" s="456">
        <f t="shared" si="10"/>
        <v>191224.18191224182</v>
      </c>
      <c r="AW16" s="460">
        <f t="shared" si="11"/>
        <v>2260390.3755450798</v>
      </c>
      <c r="AY16" s="458">
        <f t="shared" si="14"/>
        <v>192133.18</v>
      </c>
    </row>
    <row r="17" spans="1:51" ht="14">
      <c r="A17" s="402" t="s">
        <v>535</v>
      </c>
      <c r="B17" s="404">
        <v>15051607</v>
      </c>
      <c r="C17" s="404">
        <v>291</v>
      </c>
      <c r="D17" s="405" t="s">
        <v>640</v>
      </c>
      <c r="E17" s="405" t="s">
        <v>641</v>
      </c>
      <c r="F17" s="528">
        <v>39485.93</v>
      </c>
      <c r="G17" s="530">
        <v>36681.58</v>
      </c>
      <c r="H17" s="533">
        <v>34623.1</v>
      </c>
      <c r="I17" s="537">
        <v>30004.68</v>
      </c>
      <c r="J17" s="536">
        <v>41147.230000000003</v>
      </c>
      <c r="K17" s="501">
        <v>9433.67</v>
      </c>
      <c r="L17" s="543">
        <v>11908.77</v>
      </c>
      <c r="M17" s="530">
        <v>19801.990000000002</v>
      </c>
      <c r="N17" s="546">
        <v>35417.71</v>
      </c>
      <c r="O17" s="549">
        <v>37899.64</v>
      </c>
      <c r="P17" s="551">
        <v>23285.82</v>
      </c>
      <c r="Q17" s="552"/>
      <c r="R17" s="412">
        <f t="shared" si="4"/>
        <v>128313.93</v>
      </c>
      <c r="S17" s="456">
        <f t="shared" si="5"/>
        <v>21385.654999999999</v>
      </c>
      <c r="U17" s="9">
        <f t="shared" si="6"/>
        <v>0</v>
      </c>
      <c r="V17" s="9">
        <f t="shared" si="2"/>
        <v>0</v>
      </c>
      <c r="W17" s="9">
        <f t="shared" si="2"/>
        <v>0</v>
      </c>
      <c r="X17" s="9">
        <f t="shared" si="2"/>
        <v>0</v>
      </c>
      <c r="Y17" s="9">
        <f t="shared" si="2"/>
        <v>0</v>
      </c>
      <c r="Z17" s="9">
        <f t="shared" si="2"/>
        <v>0</v>
      </c>
      <c r="AA17" s="9">
        <f t="shared" si="2"/>
        <v>0</v>
      </c>
      <c r="AB17" s="9">
        <f t="shared" si="2"/>
        <v>291</v>
      </c>
      <c r="AC17" s="9">
        <f t="shared" si="2"/>
        <v>0</v>
      </c>
      <c r="AD17" s="9">
        <f t="shared" si="2"/>
        <v>0</v>
      </c>
      <c r="AE17" s="9">
        <f t="shared" si="2"/>
        <v>0</v>
      </c>
      <c r="AF17" s="9">
        <f t="shared" si="2"/>
        <v>0</v>
      </c>
      <c r="AG17" s="9">
        <f t="shared" si="2"/>
        <v>0</v>
      </c>
      <c r="AH17" s="9">
        <f t="shared" si="2"/>
        <v>0</v>
      </c>
      <c r="AI17" s="9">
        <f t="shared" si="2"/>
        <v>0</v>
      </c>
      <c r="AJ17" s="365">
        <f t="shared" si="3"/>
        <v>291</v>
      </c>
      <c r="AK17" s="460">
        <f t="shared" si="7"/>
        <v>0</v>
      </c>
      <c r="AM17" t="s">
        <v>664</v>
      </c>
      <c r="AN17" s="458">
        <f>+AG2</f>
        <v>789</v>
      </c>
      <c r="AO17" s="456">
        <f t="shared" si="8"/>
        <v>9282.3530339999998</v>
      </c>
      <c r="AP17" s="456">
        <f t="shared" si="12"/>
        <v>142809</v>
      </c>
      <c r="AQ17" s="456">
        <v>5581567</v>
      </c>
      <c r="AR17" s="525">
        <f t="shared" si="13"/>
        <v>7.0189013355017579E-2</v>
      </c>
      <c r="AS17" s="458">
        <f>+'2020'!AO118</f>
        <v>363793.70999999996</v>
      </c>
      <c r="AT17" s="456">
        <f t="shared" si="9"/>
        <v>4279926.0427992595</v>
      </c>
      <c r="AU17" s="456">
        <f t="shared" si="10"/>
        <v>363793.71363793709</v>
      </c>
      <c r="AW17" s="460">
        <f t="shared" si="11"/>
        <v>4289208.3958332594</v>
      </c>
      <c r="AY17" s="458">
        <f t="shared" si="14"/>
        <v>364582.70999999996</v>
      </c>
    </row>
    <row r="18" spans="1:51" ht="14">
      <c r="A18" s="402" t="s">
        <v>533</v>
      </c>
      <c r="B18" s="403">
        <v>15077970</v>
      </c>
      <c r="C18" s="403">
        <v>59</v>
      </c>
      <c r="D18" s="402" t="s">
        <v>830</v>
      </c>
      <c r="E18" s="402" t="s">
        <v>231</v>
      </c>
      <c r="F18" s="533">
        <v>6859.24</v>
      </c>
      <c r="G18" s="533">
        <v>4661.6499999999996</v>
      </c>
      <c r="H18" s="533">
        <v>2650.18</v>
      </c>
      <c r="I18" s="533">
        <v>9167.06</v>
      </c>
      <c r="J18" s="537">
        <v>3509.73</v>
      </c>
      <c r="K18" s="537">
        <v>2366.11</v>
      </c>
      <c r="L18" s="543">
        <v>2251.1799999999998</v>
      </c>
      <c r="M18" s="543">
        <v>3332.17</v>
      </c>
      <c r="N18" s="530">
        <v>6977</v>
      </c>
      <c r="O18" s="546">
        <v>7908.74</v>
      </c>
      <c r="P18" s="549">
        <v>6641.42</v>
      </c>
      <c r="Q18" s="482">
        <v>6199.4</v>
      </c>
      <c r="R18" s="412">
        <f t="shared" si="4"/>
        <v>33309.910000000003</v>
      </c>
      <c r="S18" s="456">
        <f t="shared" si="5"/>
        <v>5551.6516666666676</v>
      </c>
      <c r="U18" s="9">
        <f t="shared" si="6"/>
        <v>0</v>
      </c>
      <c r="V18" s="9">
        <f t="shared" si="2"/>
        <v>0</v>
      </c>
      <c r="W18" s="9">
        <f t="shared" si="2"/>
        <v>0</v>
      </c>
      <c r="X18" s="9">
        <f t="shared" si="2"/>
        <v>0</v>
      </c>
      <c r="Y18" s="9">
        <f t="shared" si="2"/>
        <v>0</v>
      </c>
      <c r="Z18" s="9">
        <f t="shared" si="2"/>
        <v>0</v>
      </c>
      <c r="AA18" s="9">
        <f t="shared" si="2"/>
        <v>0</v>
      </c>
      <c r="AB18" s="9">
        <f t="shared" si="2"/>
        <v>0</v>
      </c>
      <c r="AC18" s="9">
        <f t="shared" si="2"/>
        <v>0</v>
      </c>
      <c r="AD18" s="9">
        <f t="shared" si="2"/>
        <v>59</v>
      </c>
      <c r="AE18" s="9">
        <f t="shared" si="2"/>
        <v>0</v>
      </c>
      <c r="AF18" s="9">
        <f t="shared" si="2"/>
        <v>0</v>
      </c>
      <c r="AG18" s="9">
        <f t="shared" si="2"/>
        <v>0</v>
      </c>
      <c r="AH18" s="9">
        <f t="shared" si="2"/>
        <v>0</v>
      </c>
      <c r="AI18" s="9">
        <f t="shared" si="2"/>
        <v>0</v>
      </c>
      <c r="AJ18" s="365">
        <f t="shared" si="3"/>
        <v>59</v>
      </c>
      <c r="AK18" s="460">
        <f t="shared" si="7"/>
        <v>0</v>
      </c>
      <c r="AM18" t="s">
        <v>1000</v>
      </c>
      <c r="AN18" s="458">
        <f>+AH2</f>
        <v>91</v>
      </c>
      <c r="AO18" s="456">
        <f t="shared" si="8"/>
        <v>1070.588246</v>
      </c>
      <c r="AQ18" s="456">
        <v>0</v>
      </c>
      <c r="AR18" s="525">
        <f t="shared" si="13"/>
        <v>0</v>
      </c>
      <c r="AS18" s="458">
        <f>+'2020'!AP118</f>
        <v>229546.37</v>
      </c>
      <c r="AT18" s="456">
        <f t="shared" si="9"/>
        <v>2700545.5564172198</v>
      </c>
      <c r="AU18" s="456">
        <f t="shared" si="10"/>
        <v>229546.37229546369</v>
      </c>
      <c r="AW18" s="460">
        <f t="shared" si="11"/>
        <v>2701616.1446632198</v>
      </c>
      <c r="AY18" s="458">
        <f t="shared" si="14"/>
        <v>229637.37</v>
      </c>
    </row>
    <row r="19" spans="1:51" ht="14">
      <c r="A19" s="402" t="s">
        <v>659</v>
      </c>
      <c r="B19" s="403">
        <v>15031812</v>
      </c>
      <c r="C19" s="403">
        <v>105</v>
      </c>
      <c r="D19" s="402" t="s">
        <v>707</v>
      </c>
      <c r="E19" s="402" t="s">
        <v>688</v>
      </c>
      <c r="F19" s="483">
        <v>17502.87</v>
      </c>
      <c r="G19" s="528">
        <v>15869.27</v>
      </c>
      <c r="H19" s="530">
        <v>17770.64</v>
      </c>
      <c r="I19" s="533">
        <v>21466.94</v>
      </c>
      <c r="J19" s="536">
        <v>13825.83</v>
      </c>
      <c r="K19" s="537">
        <v>9529.83</v>
      </c>
      <c r="L19" s="501">
        <v>9048.77</v>
      </c>
      <c r="M19" s="543">
        <v>9679.5400000000009</v>
      </c>
      <c r="N19" s="530">
        <v>17686.55</v>
      </c>
      <c r="O19" s="546">
        <v>20736.439999999999</v>
      </c>
      <c r="P19" s="549">
        <v>16906.62</v>
      </c>
      <c r="Q19" s="482">
        <v>19064.86</v>
      </c>
      <c r="R19" s="412">
        <f t="shared" si="4"/>
        <v>93122.78</v>
      </c>
      <c r="S19" s="456">
        <f t="shared" si="5"/>
        <v>15520.463333333333</v>
      </c>
      <c r="U19" s="9">
        <f t="shared" si="6"/>
        <v>0</v>
      </c>
      <c r="V19" s="9">
        <f t="shared" si="2"/>
        <v>0</v>
      </c>
      <c r="W19" s="9">
        <f t="shared" si="2"/>
        <v>0</v>
      </c>
      <c r="X19" s="9">
        <f t="shared" si="2"/>
        <v>0</v>
      </c>
      <c r="Y19" s="9">
        <f t="shared" si="2"/>
        <v>0</v>
      </c>
      <c r="Z19" s="9">
        <f t="shared" si="2"/>
        <v>0</v>
      </c>
      <c r="AA19" s="9">
        <f t="shared" si="2"/>
        <v>0</v>
      </c>
      <c r="AB19" s="9">
        <f t="shared" si="2"/>
        <v>0</v>
      </c>
      <c r="AC19" s="9">
        <f t="shared" si="2"/>
        <v>0</v>
      </c>
      <c r="AD19" s="9">
        <f t="shared" si="2"/>
        <v>0</v>
      </c>
      <c r="AE19" s="9">
        <f t="shared" si="2"/>
        <v>0</v>
      </c>
      <c r="AF19" s="9">
        <f t="shared" si="2"/>
        <v>105</v>
      </c>
      <c r="AG19" s="9">
        <f t="shared" si="2"/>
        <v>0</v>
      </c>
      <c r="AH19" s="9">
        <f t="shared" si="2"/>
        <v>0</v>
      </c>
      <c r="AI19" s="9">
        <f t="shared" si="2"/>
        <v>0</v>
      </c>
      <c r="AJ19" s="365">
        <f t="shared" si="3"/>
        <v>105</v>
      </c>
      <c r="AK19" s="460">
        <f t="shared" si="7"/>
        <v>0</v>
      </c>
      <c r="AM19" t="s">
        <v>705</v>
      </c>
      <c r="AN19" s="458">
        <f>+AI2</f>
        <v>367</v>
      </c>
      <c r="AO19" s="456">
        <f t="shared" si="8"/>
        <v>4317.6471019999999</v>
      </c>
      <c r="AQ19" s="456">
        <v>0</v>
      </c>
      <c r="AR19" s="525">
        <f t="shared" si="13"/>
        <v>0</v>
      </c>
      <c r="AS19" s="458">
        <f>+'2020'!AS118</f>
        <v>285350.99</v>
      </c>
      <c r="AT19" s="456">
        <f t="shared" si="9"/>
        <v>3357070.5041589402</v>
      </c>
      <c r="AU19" s="456">
        <f t="shared" si="10"/>
        <v>285350.99285350996</v>
      </c>
      <c r="AW19" s="460">
        <f t="shared" si="11"/>
        <v>3361388.1512609404</v>
      </c>
      <c r="AY19" s="458">
        <f t="shared" si="14"/>
        <v>285717.99</v>
      </c>
    </row>
    <row r="20" spans="1:51" ht="14">
      <c r="A20" s="402" t="s">
        <v>537</v>
      </c>
      <c r="B20" s="403">
        <v>15074218</v>
      </c>
      <c r="C20" s="403">
        <v>72</v>
      </c>
      <c r="D20" s="402"/>
      <c r="E20" s="402" t="s">
        <v>976</v>
      </c>
      <c r="F20" s="483">
        <v>15117.77</v>
      </c>
      <c r="G20" s="528">
        <v>13834.48</v>
      </c>
      <c r="H20" s="530">
        <v>16678.96</v>
      </c>
      <c r="I20" s="533">
        <v>21142.07</v>
      </c>
      <c r="J20" s="536">
        <v>16629.78</v>
      </c>
      <c r="K20" s="537">
        <v>8142.46</v>
      </c>
      <c r="L20" s="501">
        <v>9114.68</v>
      </c>
      <c r="M20" s="543">
        <v>10005.76</v>
      </c>
      <c r="N20" s="530">
        <v>11427.57</v>
      </c>
      <c r="O20" s="546">
        <v>16685.03</v>
      </c>
      <c r="P20" s="549">
        <v>13015.07</v>
      </c>
      <c r="Q20" s="482">
        <v>12001.11</v>
      </c>
      <c r="R20" s="412">
        <f t="shared" si="4"/>
        <v>72249.22</v>
      </c>
      <c r="S20" s="456">
        <f t="shared" si="5"/>
        <v>12041.536666666667</v>
      </c>
      <c r="U20" s="9">
        <f t="shared" si="6"/>
        <v>0</v>
      </c>
      <c r="V20" s="9">
        <f t="shared" si="6"/>
        <v>72</v>
      </c>
      <c r="W20" s="9">
        <f t="shared" si="6"/>
        <v>0</v>
      </c>
      <c r="X20" s="9">
        <f t="shared" si="6"/>
        <v>0</v>
      </c>
      <c r="Y20" s="9">
        <f t="shared" si="6"/>
        <v>0</v>
      </c>
      <c r="Z20" s="9">
        <f t="shared" si="6"/>
        <v>0</v>
      </c>
      <c r="AA20" s="9">
        <f t="shared" si="6"/>
        <v>0</v>
      </c>
      <c r="AB20" s="9">
        <f t="shared" si="6"/>
        <v>0</v>
      </c>
      <c r="AC20" s="9">
        <f t="shared" si="6"/>
        <v>0</v>
      </c>
      <c r="AD20" s="9">
        <f t="shared" si="6"/>
        <v>0</v>
      </c>
      <c r="AE20" s="9">
        <f t="shared" si="6"/>
        <v>0</v>
      </c>
      <c r="AF20" s="9">
        <f t="shared" si="6"/>
        <v>0</v>
      </c>
      <c r="AG20" s="9">
        <f t="shared" si="6"/>
        <v>0</v>
      </c>
      <c r="AH20" s="9">
        <f t="shared" si="6"/>
        <v>0</v>
      </c>
      <c r="AI20" s="9">
        <f t="shared" si="6"/>
        <v>0</v>
      </c>
      <c r="AJ20" s="365">
        <f t="shared" si="3"/>
        <v>72</v>
      </c>
      <c r="AK20" s="460">
        <f t="shared" si="7"/>
        <v>0</v>
      </c>
      <c r="AM20" t="s">
        <v>965</v>
      </c>
      <c r="AN20" s="458">
        <f t="shared" ref="AN20:AU20" si="15">+SUM(AN7:AN19)</f>
        <v>7631</v>
      </c>
      <c r="AO20" s="458">
        <f t="shared" si="15"/>
        <v>89776.471485999995</v>
      </c>
      <c r="AP20" s="458">
        <f t="shared" si="15"/>
        <v>1298313</v>
      </c>
      <c r="AQ20" s="458">
        <f t="shared" si="15"/>
        <v>79521947</v>
      </c>
      <c r="AR20" s="525">
        <f t="shared" si="15"/>
        <v>0.99999999999999989</v>
      </c>
      <c r="AS20" s="458">
        <f t="shared" si="15"/>
        <v>3081715.3</v>
      </c>
      <c r="AT20" s="458">
        <f t="shared" si="15"/>
        <v>36255474.480201796</v>
      </c>
      <c r="AU20" s="458">
        <f t="shared" si="15"/>
        <v>3081715.3308171537</v>
      </c>
      <c r="AW20" s="458">
        <f>+SUM(AW7:AW19)</f>
        <v>36337839.186907798</v>
      </c>
      <c r="AY20" s="458">
        <f>+SUM(AY8:AY19)</f>
        <v>3088716.3</v>
      </c>
    </row>
    <row r="21" spans="1:51" ht="14">
      <c r="A21" s="402" t="s">
        <v>659</v>
      </c>
      <c r="B21" s="403">
        <v>15065882</v>
      </c>
      <c r="C21" s="403">
        <v>53</v>
      </c>
      <c r="D21" s="402" t="s">
        <v>234</v>
      </c>
      <c r="E21" s="402" t="s">
        <v>234</v>
      </c>
      <c r="F21" s="483">
        <v>11358.56</v>
      </c>
      <c r="G21" s="528">
        <v>9385.06</v>
      </c>
      <c r="H21" s="530">
        <v>10149.61</v>
      </c>
      <c r="I21" s="533">
        <v>13555.86</v>
      </c>
      <c r="J21" s="536">
        <v>11947.22</v>
      </c>
      <c r="K21" s="537">
        <v>7356.73</v>
      </c>
      <c r="L21" s="501">
        <v>6444.64</v>
      </c>
      <c r="M21" s="543">
        <v>7672.67</v>
      </c>
      <c r="N21" s="530">
        <v>11652.89</v>
      </c>
      <c r="O21" s="546">
        <v>13695.2</v>
      </c>
      <c r="P21" s="549">
        <v>12389.76</v>
      </c>
      <c r="Q21" s="482">
        <v>12479.56</v>
      </c>
      <c r="R21" s="412">
        <f t="shared" si="4"/>
        <v>64334.720000000001</v>
      </c>
      <c r="S21" s="456">
        <f t="shared" si="5"/>
        <v>10722.453333333333</v>
      </c>
      <c r="U21" s="9">
        <f t="shared" si="6"/>
        <v>0</v>
      </c>
      <c r="V21" s="9">
        <f t="shared" si="6"/>
        <v>0</v>
      </c>
      <c r="W21" s="9">
        <f t="shared" si="6"/>
        <v>0</v>
      </c>
      <c r="X21" s="9">
        <f t="shared" si="6"/>
        <v>0</v>
      </c>
      <c r="Y21" s="9">
        <f t="shared" si="6"/>
        <v>0</v>
      </c>
      <c r="Z21" s="9">
        <f t="shared" si="6"/>
        <v>0</v>
      </c>
      <c r="AA21" s="9">
        <f t="shared" si="6"/>
        <v>0</v>
      </c>
      <c r="AB21" s="9">
        <f t="shared" si="6"/>
        <v>0</v>
      </c>
      <c r="AC21" s="9">
        <f t="shared" si="6"/>
        <v>0</v>
      </c>
      <c r="AD21" s="9">
        <f t="shared" si="6"/>
        <v>0</v>
      </c>
      <c r="AE21" s="9">
        <f t="shared" si="6"/>
        <v>0</v>
      </c>
      <c r="AF21" s="9">
        <f t="shared" si="6"/>
        <v>53</v>
      </c>
      <c r="AG21" s="9">
        <f t="shared" si="6"/>
        <v>0</v>
      </c>
      <c r="AH21" s="9">
        <f t="shared" si="6"/>
        <v>0</v>
      </c>
      <c r="AI21" s="9">
        <f t="shared" si="6"/>
        <v>0</v>
      </c>
      <c r="AJ21" s="365">
        <f t="shared" si="3"/>
        <v>53</v>
      </c>
      <c r="AK21" s="460">
        <f t="shared" si="7"/>
        <v>0</v>
      </c>
      <c r="AN21" s="458"/>
      <c r="AS21" s="458"/>
      <c r="AW21" s="456"/>
    </row>
    <row r="22" spans="1:51" ht="14">
      <c r="A22" s="402" t="s">
        <v>530</v>
      </c>
      <c r="B22" s="403">
        <v>15066432</v>
      </c>
      <c r="C22" s="403">
        <v>90</v>
      </c>
      <c r="D22" s="402"/>
      <c r="E22" s="402" t="s">
        <v>922</v>
      </c>
      <c r="F22" s="483">
        <v>23753.89</v>
      </c>
      <c r="G22" s="528">
        <v>24525.03</v>
      </c>
      <c r="H22" s="530">
        <v>26229.73</v>
      </c>
      <c r="I22" s="533">
        <v>29158.07</v>
      </c>
      <c r="J22" s="536">
        <v>29285.55</v>
      </c>
      <c r="K22" s="537">
        <v>18273.87</v>
      </c>
      <c r="L22" s="501">
        <v>17451.88</v>
      </c>
      <c r="M22" s="543">
        <v>19519.03</v>
      </c>
      <c r="N22" s="530">
        <v>24938.81</v>
      </c>
      <c r="O22" s="546">
        <v>27998.21</v>
      </c>
      <c r="P22" s="549">
        <v>24805.51</v>
      </c>
      <c r="Q22" s="482">
        <v>27460.05</v>
      </c>
      <c r="R22" s="412">
        <f t="shared" si="4"/>
        <v>142173.49</v>
      </c>
      <c r="S22" s="456">
        <f t="shared" si="5"/>
        <v>23695.581666666665</v>
      </c>
      <c r="U22" s="9">
        <f t="shared" si="6"/>
        <v>0</v>
      </c>
      <c r="V22" s="9">
        <f t="shared" si="6"/>
        <v>0</v>
      </c>
      <c r="W22" s="9">
        <f t="shared" si="6"/>
        <v>0</v>
      </c>
      <c r="X22" s="9">
        <f t="shared" si="6"/>
        <v>0</v>
      </c>
      <c r="Y22" s="9">
        <f t="shared" si="6"/>
        <v>0</v>
      </c>
      <c r="Z22" s="9">
        <f t="shared" si="6"/>
        <v>90</v>
      </c>
      <c r="AA22" s="9">
        <f t="shared" si="6"/>
        <v>0</v>
      </c>
      <c r="AB22" s="9">
        <f t="shared" si="6"/>
        <v>0</v>
      </c>
      <c r="AC22" s="9">
        <f t="shared" si="6"/>
        <v>0</v>
      </c>
      <c r="AD22" s="9">
        <f t="shared" si="6"/>
        <v>0</v>
      </c>
      <c r="AE22" s="9">
        <f t="shared" si="6"/>
        <v>0</v>
      </c>
      <c r="AF22" s="9">
        <f t="shared" si="6"/>
        <v>0</v>
      </c>
      <c r="AG22" s="9">
        <f t="shared" si="6"/>
        <v>0</v>
      </c>
      <c r="AH22" s="9">
        <f t="shared" si="6"/>
        <v>0</v>
      </c>
      <c r="AI22" s="9">
        <f t="shared" si="6"/>
        <v>0</v>
      </c>
      <c r="AJ22" s="365">
        <f t="shared" si="3"/>
        <v>90</v>
      </c>
      <c r="AK22" s="460">
        <f t="shared" si="7"/>
        <v>0</v>
      </c>
      <c r="AN22" s="458">
        <f>+AN20-AJ2</f>
        <v>-1190</v>
      </c>
      <c r="AR22" s="525" t="e">
        <f>+AR11+#REF!+AR13+AR15+AR16</f>
        <v>#REF!</v>
      </c>
      <c r="AS22" s="460"/>
      <c r="AW22" s="456"/>
      <c r="AY22" s="458"/>
    </row>
    <row r="23" spans="1:51" ht="14">
      <c r="A23" s="402" t="s">
        <v>535</v>
      </c>
      <c r="B23" s="403">
        <v>15059166</v>
      </c>
      <c r="C23" s="403">
        <v>146</v>
      </c>
      <c r="D23" s="402" t="s">
        <v>851</v>
      </c>
      <c r="E23" s="402" t="s">
        <v>852</v>
      </c>
      <c r="F23" s="483">
        <v>29160.91</v>
      </c>
      <c r="G23" s="528">
        <v>29160.91</v>
      </c>
      <c r="H23" s="530">
        <v>31657.7</v>
      </c>
      <c r="I23" s="533">
        <v>31534.69</v>
      </c>
      <c r="J23" s="536">
        <v>32533.37</v>
      </c>
      <c r="K23" s="537">
        <v>31515.69</v>
      </c>
      <c r="L23" s="501">
        <v>20070.04</v>
      </c>
      <c r="M23" s="543">
        <v>19574.810000000001</v>
      </c>
      <c r="N23" s="530">
        <v>31154.5</v>
      </c>
      <c r="O23" s="546">
        <v>37927.42</v>
      </c>
      <c r="P23" s="549">
        <v>31188.87</v>
      </c>
      <c r="Q23" s="482">
        <v>28609.8</v>
      </c>
      <c r="R23" s="412">
        <f t="shared" si="4"/>
        <v>168525.44</v>
      </c>
      <c r="S23" s="456">
        <f t="shared" si="5"/>
        <v>28087.573333333334</v>
      </c>
      <c r="U23" s="9">
        <f t="shared" si="6"/>
        <v>0</v>
      </c>
      <c r="V23" s="9">
        <f t="shared" si="6"/>
        <v>0</v>
      </c>
      <c r="W23" s="9">
        <f t="shared" si="6"/>
        <v>0</v>
      </c>
      <c r="X23" s="9">
        <f t="shared" si="6"/>
        <v>0</v>
      </c>
      <c r="Y23" s="9">
        <f t="shared" si="6"/>
        <v>0</v>
      </c>
      <c r="Z23" s="9">
        <f t="shared" si="6"/>
        <v>0</v>
      </c>
      <c r="AA23" s="9">
        <f t="shared" si="6"/>
        <v>0</v>
      </c>
      <c r="AB23" s="9">
        <f t="shared" si="6"/>
        <v>146</v>
      </c>
      <c r="AC23" s="9">
        <f t="shared" si="6"/>
        <v>0</v>
      </c>
      <c r="AD23" s="9">
        <f t="shared" si="6"/>
        <v>0</v>
      </c>
      <c r="AE23" s="9">
        <f t="shared" si="6"/>
        <v>0</v>
      </c>
      <c r="AF23" s="9">
        <f t="shared" si="6"/>
        <v>0</v>
      </c>
      <c r="AG23" s="9">
        <f t="shared" si="6"/>
        <v>0</v>
      </c>
      <c r="AH23" s="9">
        <f t="shared" si="6"/>
        <v>0</v>
      </c>
      <c r="AI23" s="9">
        <f t="shared" si="6"/>
        <v>0</v>
      </c>
      <c r="AJ23" s="365">
        <f t="shared" si="3"/>
        <v>146</v>
      </c>
      <c r="AK23" s="460">
        <f t="shared" si="7"/>
        <v>0</v>
      </c>
      <c r="AS23" s="456"/>
      <c r="AW23" s="456"/>
    </row>
    <row r="24" spans="1:51" ht="14">
      <c r="A24" s="402" t="s">
        <v>537</v>
      </c>
      <c r="B24" s="403">
        <v>15036832</v>
      </c>
      <c r="C24" s="403">
        <v>103</v>
      </c>
      <c r="D24" s="402" t="s">
        <v>504</v>
      </c>
      <c r="E24" s="402" t="s">
        <v>504</v>
      </c>
      <c r="F24" s="483">
        <v>29111.14</v>
      </c>
      <c r="G24" s="528">
        <v>29111.14</v>
      </c>
      <c r="H24" s="530">
        <v>29175.200000000001</v>
      </c>
      <c r="I24" s="533">
        <v>36279.730000000003</v>
      </c>
      <c r="J24" s="536">
        <v>19290.18</v>
      </c>
      <c r="K24" s="537">
        <v>16003.42</v>
      </c>
      <c r="L24" s="501">
        <v>3136.82</v>
      </c>
      <c r="M24" s="543">
        <v>18172.669999999998</v>
      </c>
      <c r="N24" s="530">
        <v>20941.560000000001</v>
      </c>
      <c r="O24" s="546">
        <v>34082.78</v>
      </c>
      <c r="P24" s="549">
        <v>26524.93</v>
      </c>
      <c r="Q24" s="482">
        <v>25200.87</v>
      </c>
      <c r="R24" s="412">
        <f t="shared" si="4"/>
        <v>128059.63</v>
      </c>
      <c r="S24" s="456">
        <f t="shared" si="5"/>
        <v>21343.271666666667</v>
      </c>
      <c r="U24" s="9">
        <f t="shared" si="6"/>
        <v>0</v>
      </c>
      <c r="V24" s="9">
        <f t="shared" si="6"/>
        <v>103</v>
      </c>
      <c r="W24" s="9">
        <f t="shared" si="6"/>
        <v>0</v>
      </c>
      <c r="X24" s="9">
        <f t="shared" si="6"/>
        <v>0</v>
      </c>
      <c r="Y24" s="9">
        <f t="shared" si="6"/>
        <v>0</v>
      </c>
      <c r="Z24" s="9">
        <f t="shared" si="6"/>
        <v>0</v>
      </c>
      <c r="AA24" s="9">
        <f t="shared" si="6"/>
        <v>0</v>
      </c>
      <c r="AB24" s="9">
        <f t="shared" si="6"/>
        <v>0</v>
      </c>
      <c r="AC24" s="9">
        <f t="shared" si="6"/>
        <v>0</v>
      </c>
      <c r="AD24" s="9">
        <f t="shared" si="6"/>
        <v>0</v>
      </c>
      <c r="AE24" s="9">
        <f t="shared" si="6"/>
        <v>0</v>
      </c>
      <c r="AF24" s="9">
        <f t="shared" si="6"/>
        <v>0</v>
      </c>
      <c r="AG24" s="9">
        <f t="shared" si="6"/>
        <v>0</v>
      </c>
      <c r="AH24" s="9">
        <f t="shared" si="6"/>
        <v>0</v>
      </c>
      <c r="AI24" s="9">
        <f t="shared" si="6"/>
        <v>0</v>
      </c>
      <c r="AJ24" s="365">
        <f t="shared" si="3"/>
        <v>103</v>
      </c>
      <c r="AK24" s="460">
        <f t="shared" si="7"/>
        <v>0</v>
      </c>
    </row>
    <row r="25" spans="1:51" ht="14">
      <c r="A25" s="402" t="s">
        <v>533</v>
      </c>
      <c r="B25" s="403">
        <v>15007853</v>
      </c>
      <c r="C25" s="403">
        <v>55</v>
      </c>
      <c r="D25" s="402" t="s">
        <v>632</v>
      </c>
      <c r="E25" s="402" t="s">
        <v>238</v>
      </c>
      <c r="F25" s="483">
        <v>6106</v>
      </c>
      <c r="G25" s="528">
        <v>6041.44</v>
      </c>
      <c r="H25" s="533">
        <v>6360.79</v>
      </c>
      <c r="I25" s="533">
        <v>7650.88</v>
      </c>
      <c r="J25" s="537">
        <v>4198.41</v>
      </c>
      <c r="K25" s="537">
        <v>2421.9299999999998</v>
      </c>
      <c r="L25" s="543">
        <v>2519.2800000000002</v>
      </c>
      <c r="M25" s="543">
        <v>3445.47</v>
      </c>
      <c r="N25" s="546">
        <v>6314.36</v>
      </c>
      <c r="O25" s="546">
        <v>5724.77</v>
      </c>
      <c r="P25" s="482"/>
      <c r="Q25" s="482"/>
      <c r="R25" s="412">
        <f t="shared" si="4"/>
        <v>18003.88</v>
      </c>
      <c r="S25" s="456">
        <f t="shared" si="5"/>
        <v>3000.646666666667</v>
      </c>
      <c r="U25" s="9">
        <f t="shared" si="6"/>
        <v>0</v>
      </c>
      <c r="V25" s="9">
        <f t="shared" si="6"/>
        <v>0</v>
      </c>
      <c r="W25" s="9">
        <f t="shared" si="6"/>
        <v>0</v>
      </c>
      <c r="X25" s="9">
        <f t="shared" si="6"/>
        <v>0</v>
      </c>
      <c r="Y25" s="9">
        <f t="shared" si="6"/>
        <v>0</v>
      </c>
      <c r="Z25" s="9">
        <f t="shared" si="6"/>
        <v>0</v>
      </c>
      <c r="AA25" s="9">
        <f t="shared" si="6"/>
        <v>0</v>
      </c>
      <c r="AB25" s="9">
        <f t="shared" si="6"/>
        <v>0</v>
      </c>
      <c r="AC25" s="9">
        <f t="shared" si="6"/>
        <v>0</v>
      </c>
      <c r="AD25" s="9">
        <f t="shared" si="6"/>
        <v>55</v>
      </c>
      <c r="AE25" s="9">
        <f t="shared" si="6"/>
        <v>0</v>
      </c>
      <c r="AF25" s="9">
        <f t="shared" si="6"/>
        <v>0</v>
      </c>
      <c r="AG25" s="9">
        <f t="shared" si="6"/>
        <v>0</v>
      </c>
      <c r="AH25" s="9">
        <f t="shared" si="6"/>
        <v>0</v>
      </c>
      <c r="AI25" s="9">
        <f t="shared" si="6"/>
        <v>0</v>
      </c>
      <c r="AJ25" s="365">
        <f t="shared" si="3"/>
        <v>55</v>
      </c>
      <c r="AK25" s="460">
        <f t="shared" si="7"/>
        <v>0</v>
      </c>
      <c r="AN25">
        <v>2023</v>
      </c>
      <c r="AO25" s="456">
        <f>125+87+82</f>
        <v>294</v>
      </c>
      <c r="AP25" s="525">
        <f>+AO25/8980</f>
        <v>3.2739420935412024E-2</v>
      </c>
    </row>
    <row r="26" spans="1:51" ht="14">
      <c r="A26" s="402" t="s">
        <v>705</v>
      </c>
      <c r="B26" s="403">
        <v>7000700</v>
      </c>
      <c r="C26" s="403">
        <v>44</v>
      </c>
      <c r="D26" s="402" t="s">
        <v>239</v>
      </c>
      <c r="E26" s="402" t="s">
        <v>239</v>
      </c>
      <c r="F26" s="483">
        <v>640.80999999999995</v>
      </c>
      <c r="G26" s="528">
        <v>691.56</v>
      </c>
      <c r="H26" s="530">
        <v>677</v>
      </c>
      <c r="I26" s="533">
        <v>723.69</v>
      </c>
      <c r="J26" s="536">
        <v>740.43</v>
      </c>
      <c r="K26" s="537">
        <v>641</v>
      </c>
      <c r="L26" s="501">
        <v>557.34</v>
      </c>
      <c r="M26" s="482"/>
      <c r="N26" s="530">
        <v>788.63</v>
      </c>
      <c r="O26" s="546">
        <v>733.29</v>
      </c>
      <c r="P26" s="549">
        <v>780.81</v>
      </c>
      <c r="Q26" s="482">
        <v>844.9</v>
      </c>
      <c r="R26" s="412">
        <f t="shared" si="4"/>
        <v>3704.9700000000003</v>
      </c>
      <c r="S26" s="456">
        <f t="shared" si="5"/>
        <v>617.495</v>
      </c>
      <c r="U26" s="9">
        <f t="shared" si="6"/>
        <v>0</v>
      </c>
      <c r="V26" s="9">
        <f t="shared" si="6"/>
        <v>0</v>
      </c>
      <c r="W26" s="9">
        <f t="shared" si="6"/>
        <v>0</v>
      </c>
      <c r="X26" s="9">
        <f t="shared" si="6"/>
        <v>0</v>
      </c>
      <c r="Y26" s="9">
        <f t="shared" si="6"/>
        <v>0</v>
      </c>
      <c r="Z26" s="9">
        <f t="shared" si="6"/>
        <v>0</v>
      </c>
      <c r="AA26" s="9">
        <f t="shared" si="6"/>
        <v>0</v>
      </c>
      <c r="AB26" s="9">
        <f t="shared" si="6"/>
        <v>0</v>
      </c>
      <c r="AC26" s="9">
        <f t="shared" si="6"/>
        <v>0</v>
      </c>
      <c r="AD26" s="9">
        <f t="shared" si="6"/>
        <v>0</v>
      </c>
      <c r="AE26" s="9">
        <f t="shared" si="6"/>
        <v>0</v>
      </c>
      <c r="AF26" s="9">
        <f t="shared" si="6"/>
        <v>0</v>
      </c>
      <c r="AG26" s="9">
        <f t="shared" si="6"/>
        <v>0</v>
      </c>
      <c r="AH26" s="9">
        <f t="shared" si="6"/>
        <v>0</v>
      </c>
      <c r="AI26" s="9">
        <f t="shared" si="6"/>
        <v>44</v>
      </c>
      <c r="AJ26" s="365">
        <f t="shared" si="3"/>
        <v>44</v>
      </c>
      <c r="AK26" s="460">
        <f t="shared" si="7"/>
        <v>0</v>
      </c>
      <c r="AN26">
        <v>2024</v>
      </c>
      <c r="AO26" s="456">
        <f>113+120+90+125</f>
        <v>448</v>
      </c>
      <c r="AP26" s="525">
        <f>+AO26/(8980+AO25)</f>
        <v>4.8307095104593488E-2</v>
      </c>
    </row>
    <row r="27" spans="1:51" ht="14">
      <c r="A27" s="402" t="s">
        <v>533</v>
      </c>
      <c r="B27" s="403">
        <v>15005502</v>
      </c>
      <c r="C27" s="403">
        <v>155</v>
      </c>
      <c r="D27" s="402" t="s">
        <v>597</v>
      </c>
      <c r="E27" s="402" t="s">
        <v>506</v>
      </c>
      <c r="F27" s="483">
        <v>39762.92</v>
      </c>
      <c r="G27" s="528">
        <v>35830.730000000003</v>
      </c>
      <c r="H27" s="530">
        <v>40409.51</v>
      </c>
      <c r="I27" s="533">
        <v>52646.54</v>
      </c>
      <c r="J27" s="536">
        <v>47552.06</v>
      </c>
      <c r="K27" s="537">
        <v>25393.5</v>
      </c>
      <c r="L27" s="501">
        <v>23929.64</v>
      </c>
      <c r="M27" s="543">
        <v>28230.09</v>
      </c>
      <c r="N27" s="483">
        <v>37894.36</v>
      </c>
      <c r="O27" s="546">
        <v>42200.62</v>
      </c>
      <c r="P27" s="549">
        <v>32894.26</v>
      </c>
      <c r="Q27" s="482">
        <v>33066.76</v>
      </c>
      <c r="R27" s="412">
        <f t="shared" si="4"/>
        <v>198215.73</v>
      </c>
      <c r="S27" s="456">
        <f t="shared" si="5"/>
        <v>33035.955000000002</v>
      </c>
      <c r="U27" s="9">
        <f t="shared" si="6"/>
        <v>0</v>
      </c>
      <c r="V27" s="9">
        <f t="shared" si="6"/>
        <v>0</v>
      </c>
      <c r="W27" s="9">
        <f t="shared" si="6"/>
        <v>0</v>
      </c>
      <c r="X27" s="9">
        <f t="shared" si="6"/>
        <v>0</v>
      </c>
      <c r="Y27" s="9">
        <f t="shared" si="6"/>
        <v>0</v>
      </c>
      <c r="Z27" s="9">
        <f t="shared" si="6"/>
        <v>0</v>
      </c>
      <c r="AA27" s="9">
        <f t="shared" si="6"/>
        <v>0</v>
      </c>
      <c r="AB27" s="9">
        <f t="shared" si="6"/>
        <v>0</v>
      </c>
      <c r="AC27" s="9">
        <f t="shared" si="6"/>
        <v>0</v>
      </c>
      <c r="AD27" s="9">
        <f t="shared" si="6"/>
        <v>155</v>
      </c>
      <c r="AE27" s="9">
        <f t="shared" si="6"/>
        <v>0</v>
      </c>
      <c r="AF27" s="9">
        <f t="shared" si="6"/>
        <v>0</v>
      </c>
      <c r="AG27" s="9">
        <f t="shared" si="6"/>
        <v>0</v>
      </c>
      <c r="AH27" s="9">
        <f t="shared" si="6"/>
        <v>0</v>
      </c>
      <c r="AI27" s="9">
        <f t="shared" si="6"/>
        <v>0</v>
      </c>
      <c r="AJ27" s="365">
        <f t="shared" si="3"/>
        <v>155</v>
      </c>
      <c r="AK27" s="460">
        <f t="shared" si="7"/>
        <v>0</v>
      </c>
      <c r="AN27">
        <v>2025</v>
      </c>
      <c r="AO27" s="456">
        <f>130+118+113</f>
        <v>361</v>
      </c>
      <c r="AP27" s="525">
        <f>+AO27/(8980+AO25+AO26)</f>
        <v>3.713227730919564E-2</v>
      </c>
    </row>
    <row r="28" spans="1:51" ht="14">
      <c r="A28" s="402" t="s">
        <v>533</v>
      </c>
      <c r="B28" s="403">
        <v>7000800</v>
      </c>
      <c r="C28" s="403">
        <v>65</v>
      </c>
      <c r="D28" s="402" t="s">
        <v>627</v>
      </c>
      <c r="E28" s="402" t="s">
        <v>241</v>
      </c>
      <c r="F28" s="483">
        <v>8169.35</v>
      </c>
      <c r="G28" s="528">
        <v>7841.68</v>
      </c>
      <c r="H28" s="530">
        <v>7582.68</v>
      </c>
      <c r="I28" s="533">
        <v>8105.45</v>
      </c>
      <c r="J28" s="536">
        <v>7478.15</v>
      </c>
      <c r="K28" s="537">
        <v>7276.9</v>
      </c>
      <c r="L28" s="501">
        <v>6747.13</v>
      </c>
      <c r="M28" s="543">
        <v>6678.62</v>
      </c>
      <c r="N28" s="530">
        <v>7806.8</v>
      </c>
      <c r="O28" s="546">
        <v>8152.52</v>
      </c>
      <c r="P28" s="549">
        <v>7431.98</v>
      </c>
      <c r="Q28" s="482">
        <v>6879.56</v>
      </c>
      <c r="R28" s="412">
        <f t="shared" si="4"/>
        <v>43696.61</v>
      </c>
      <c r="S28" s="456">
        <f t="shared" si="5"/>
        <v>7282.7683333333334</v>
      </c>
      <c r="U28" s="9">
        <f t="shared" si="6"/>
        <v>0</v>
      </c>
      <c r="V28" s="9">
        <f t="shared" si="6"/>
        <v>0</v>
      </c>
      <c r="W28" s="9">
        <f t="shared" si="6"/>
        <v>0</v>
      </c>
      <c r="X28" s="9">
        <f t="shared" si="6"/>
        <v>0</v>
      </c>
      <c r="Y28" s="9">
        <f t="shared" si="6"/>
        <v>0</v>
      </c>
      <c r="Z28" s="9">
        <f t="shared" si="6"/>
        <v>0</v>
      </c>
      <c r="AA28" s="9">
        <f t="shared" si="6"/>
        <v>0</v>
      </c>
      <c r="AB28" s="9">
        <f t="shared" si="6"/>
        <v>0</v>
      </c>
      <c r="AC28" s="9">
        <f t="shared" si="6"/>
        <v>0</v>
      </c>
      <c r="AD28" s="9">
        <f t="shared" si="6"/>
        <v>65</v>
      </c>
      <c r="AE28" s="9">
        <f t="shared" si="6"/>
        <v>0</v>
      </c>
      <c r="AF28" s="9">
        <f t="shared" si="6"/>
        <v>0</v>
      </c>
      <c r="AG28" s="9">
        <f t="shared" si="6"/>
        <v>0</v>
      </c>
      <c r="AH28" s="9">
        <f t="shared" si="6"/>
        <v>0</v>
      </c>
      <c r="AI28" s="9">
        <f t="shared" si="6"/>
        <v>0</v>
      </c>
      <c r="AJ28" s="365">
        <f t="shared" si="3"/>
        <v>65</v>
      </c>
      <c r="AK28" s="460">
        <f t="shared" si="7"/>
        <v>0</v>
      </c>
    </row>
    <row r="29" spans="1:51" ht="14">
      <c r="A29" s="402" t="s">
        <v>660</v>
      </c>
      <c r="B29" s="403">
        <v>15069022</v>
      </c>
      <c r="C29" s="403">
        <v>62</v>
      </c>
      <c r="D29" s="402" t="s">
        <v>972</v>
      </c>
      <c r="E29" s="402" t="s">
        <v>972</v>
      </c>
      <c r="F29" s="483">
        <v>13444.62</v>
      </c>
      <c r="G29" s="528">
        <v>11458</v>
      </c>
      <c r="H29" s="530">
        <v>14627.57</v>
      </c>
      <c r="I29" s="533">
        <v>23403.31</v>
      </c>
      <c r="J29" s="537">
        <v>16933.189999999999</v>
      </c>
      <c r="K29" s="483">
        <v>5515</v>
      </c>
      <c r="L29" s="501">
        <v>7223.42</v>
      </c>
      <c r="M29" s="547">
        <v>7318.42</v>
      </c>
      <c r="N29" s="483">
        <v>8953</v>
      </c>
      <c r="O29" s="483">
        <v>16173</v>
      </c>
      <c r="P29" s="483">
        <v>13191</v>
      </c>
      <c r="Q29" s="482">
        <v>17868.439999999999</v>
      </c>
      <c r="R29" s="412">
        <f t="shared" si="4"/>
        <v>70727.28</v>
      </c>
      <c r="S29" s="456">
        <f t="shared" si="5"/>
        <v>11787.88</v>
      </c>
      <c r="U29" s="9">
        <f t="shared" si="6"/>
        <v>0</v>
      </c>
      <c r="V29" s="9">
        <f t="shared" si="6"/>
        <v>0</v>
      </c>
      <c r="W29" s="9">
        <f t="shared" si="6"/>
        <v>0</v>
      </c>
      <c r="X29" s="9">
        <f t="shared" si="6"/>
        <v>0</v>
      </c>
      <c r="Y29" s="9">
        <f t="shared" si="6"/>
        <v>0</v>
      </c>
      <c r="Z29" s="9">
        <f t="shared" si="6"/>
        <v>0</v>
      </c>
      <c r="AA29" s="9">
        <f t="shared" si="6"/>
        <v>0</v>
      </c>
      <c r="AB29" s="9">
        <f t="shared" si="6"/>
        <v>0</v>
      </c>
      <c r="AC29" s="9">
        <f t="shared" si="6"/>
        <v>0</v>
      </c>
      <c r="AD29" s="9">
        <f t="shared" si="6"/>
        <v>0</v>
      </c>
      <c r="AE29" s="9">
        <f t="shared" si="6"/>
        <v>0</v>
      </c>
      <c r="AF29" s="9">
        <f t="shared" si="6"/>
        <v>0</v>
      </c>
      <c r="AG29" s="9">
        <f t="shared" si="6"/>
        <v>62</v>
      </c>
      <c r="AH29" s="9">
        <f t="shared" si="6"/>
        <v>0</v>
      </c>
      <c r="AI29" s="9">
        <f t="shared" si="6"/>
        <v>0</v>
      </c>
      <c r="AJ29" s="365">
        <f t="shared" si="3"/>
        <v>62</v>
      </c>
      <c r="AK29" s="460">
        <f t="shared" si="7"/>
        <v>0</v>
      </c>
      <c r="AO29" s="456">
        <v>8980</v>
      </c>
    </row>
    <row r="30" spans="1:51" ht="14">
      <c r="A30" s="402" t="s">
        <v>535</v>
      </c>
      <c r="B30" s="404">
        <v>15066411</v>
      </c>
      <c r="C30" s="404">
        <v>230</v>
      </c>
      <c r="D30" s="405" t="s">
        <v>259</v>
      </c>
      <c r="E30" s="405" t="s">
        <v>384</v>
      </c>
      <c r="F30" s="483">
        <v>65313.63</v>
      </c>
      <c r="G30" s="528">
        <v>54115.99</v>
      </c>
      <c r="H30" s="530">
        <v>65227.43</v>
      </c>
      <c r="I30" s="533">
        <v>82462.03</v>
      </c>
      <c r="J30" s="536">
        <v>74118.7</v>
      </c>
      <c r="K30" s="537">
        <v>32038.59</v>
      </c>
      <c r="L30" s="543">
        <v>30321.66</v>
      </c>
      <c r="M30" s="543">
        <v>32535.15</v>
      </c>
      <c r="N30" s="546">
        <v>71369.67</v>
      </c>
      <c r="O30" s="546">
        <v>74875.399999999994</v>
      </c>
      <c r="P30" s="549">
        <v>64886.01</v>
      </c>
      <c r="Q30" s="482">
        <v>64742.64</v>
      </c>
      <c r="R30" s="412">
        <f t="shared" si="4"/>
        <v>338730.52999999997</v>
      </c>
      <c r="S30" s="456">
        <f t="shared" si="5"/>
        <v>56455.088333333326</v>
      </c>
      <c r="U30" s="9">
        <f t="shared" si="6"/>
        <v>0</v>
      </c>
      <c r="V30" s="9">
        <f t="shared" si="6"/>
        <v>0</v>
      </c>
      <c r="W30" s="9">
        <f t="shared" si="6"/>
        <v>0</v>
      </c>
      <c r="X30" s="9">
        <f t="shared" si="6"/>
        <v>0</v>
      </c>
      <c r="Y30" s="9">
        <f t="shared" si="6"/>
        <v>0</v>
      </c>
      <c r="Z30" s="9">
        <f t="shared" si="6"/>
        <v>0</v>
      </c>
      <c r="AA30" s="9">
        <f t="shared" si="6"/>
        <v>0</v>
      </c>
      <c r="AB30" s="9">
        <f t="shared" si="6"/>
        <v>230</v>
      </c>
      <c r="AC30" s="9">
        <f t="shared" si="6"/>
        <v>0</v>
      </c>
      <c r="AD30" s="9">
        <f t="shared" si="6"/>
        <v>0</v>
      </c>
      <c r="AE30" s="9">
        <f t="shared" si="6"/>
        <v>0</v>
      </c>
      <c r="AF30" s="9">
        <f t="shared" si="6"/>
        <v>0</v>
      </c>
      <c r="AG30" s="9">
        <f t="shared" si="6"/>
        <v>0</v>
      </c>
      <c r="AH30" s="9">
        <f t="shared" si="6"/>
        <v>0</v>
      </c>
      <c r="AI30" s="9">
        <f t="shared" si="6"/>
        <v>0</v>
      </c>
      <c r="AJ30" s="365">
        <f t="shared" si="3"/>
        <v>230</v>
      </c>
      <c r="AK30" s="460">
        <f t="shared" si="7"/>
        <v>0</v>
      </c>
      <c r="AO30" s="456">
        <f>+SUM(AO25:AO29)</f>
        <v>10083</v>
      </c>
      <c r="AP30" s="526">
        <f>+AO30-AO29</f>
        <v>1103</v>
      </c>
    </row>
    <row r="31" spans="1:51" ht="14">
      <c r="A31" s="402" t="s">
        <v>1000</v>
      </c>
      <c r="B31" s="404">
        <v>15074514</v>
      </c>
      <c r="C31" s="404"/>
      <c r="D31" s="405"/>
      <c r="E31" s="405" t="s">
        <v>978</v>
      </c>
      <c r="F31" s="483">
        <v>1395.7</v>
      </c>
      <c r="G31" s="528">
        <v>1486.18</v>
      </c>
      <c r="H31" s="530">
        <v>1331.11</v>
      </c>
      <c r="I31" s="533">
        <v>1666.85</v>
      </c>
      <c r="J31" s="536">
        <v>1771.48</v>
      </c>
      <c r="K31" s="537">
        <v>108.04</v>
      </c>
      <c r="L31" s="501">
        <v>227.36</v>
      </c>
      <c r="M31" s="543">
        <v>483.46</v>
      </c>
      <c r="N31" s="530">
        <v>1043.52</v>
      </c>
      <c r="O31" s="546">
        <v>1824.11</v>
      </c>
      <c r="P31" s="549">
        <v>1591.44</v>
      </c>
      <c r="Q31" s="482">
        <v>1754.17</v>
      </c>
      <c r="R31" s="412">
        <f t="shared" si="4"/>
        <v>6924.0599999999995</v>
      </c>
      <c r="S31" s="456">
        <f t="shared" si="5"/>
        <v>1154.01</v>
      </c>
      <c r="U31" s="9">
        <f t="shared" si="6"/>
        <v>0</v>
      </c>
      <c r="V31" s="9">
        <f t="shared" si="6"/>
        <v>0</v>
      </c>
      <c r="W31" s="9">
        <f t="shared" si="6"/>
        <v>0</v>
      </c>
      <c r="X31" s="9">
        <f t="shared" si="6"/>
        <v>0</v>
      </c>
      <c r="Y31" s="9">
        <f t="shared" si="6"/>
        <v>0</v>
      </c>
      <c r="Z31" s="9">
        <f t="shared" si="6"/>
        <v>0</v>
      </c>
      <c r="AA31" s="9">
        <f t="shared" si="6"/>
        <v>0</v>
      </c>
      <c r="AB31" s="9">
        <f t="shared" si="6"/>
        <v>0</v>
      </c>
      <c r="AC31" s="9">
        <f t="shared" si="6"/>
        <v>0</v>
      </c>
      <c r="AD31" s="9">
        <f t="shared" si="6"/>
        <v>0</v>
      </c>
      <c r="AE31" s="9">
        <f t="shared" si="6"/>
        <v>0</v>
      </c>
      <c r="AF31" s="9">
        <f t="shared" si="6"/>
        <v>0</v>
      </c>
      <c r="AG31" s="9">
        <f t="shared" si="6"/>
        <v>0</v>
      </c>
      <c r="AH31" s="9">
        <f t="shared" si="6"/>
        <v>0</v>
      </c>
      <c r="AI31" s="9">
        <f t="shared" si="6"/>
        <v>0</v>
      </c>
      <c r="AJ31" s="365">
        <f t="shared" si="3"/>
        <v>0</v>
      </c>
      <c r="AK31" s="460">
        <f t="shared" si="7"/>
        <v>0</v>
      </c>
      <c r="AP31" s="525">
        <f>+AP30/AO29</f>
        <v>0.12282850779510023</v>
      </c>
    </row>
    <row r="32" spans="1:51" ht="14">
      <c r="A32" s="402" t="s">
        <v>705</v>
      </c>
      <c r="B32" s="404">
        <v>15079117</v>
      </c>
      <c r="C32" s="404"/>
      <c r="D32" s="405"/>
      <c r="E32" s="405" t="s">
        <v>1014</v>
      </c>
      <c r="F32" s="483"/>
      <c r="G32" s="528"/>
      <c r="H32" s="530"/>
      <c r="I32" s="533"/>
      <c r="J32" s="536"/>
      <c r="K32" s="537"/>
      <c r="L32" s="501">
        <v>43896.01</v>
      </c>
      <c r="M32" s="543">
        <v>69969.88</v>
      </c>
      <c r="N32" s="546">
        <v>108884.55</v>
      </c>
      <c r="O32" s="546">
        <v>124980.9</v>
      </c>
      <c r="P32" s="549">
        <v>108661.26</v>
      </c>
      <c r="Q32" s="482">
        <v>130603.09</v>
      </c>
      <c r="R32" s="412">
        <f t="shared" si="4"/>
        <v>586995.68999999994</v>
      </c>
      <c r="S32" s="456">
        <f t="shared" si="5"/>
        <v>97832.614999999991</v>
      </c>
      <c r="U32" s="9">
        <f t="shared" si="6"/>
        <v>0</v>
      </c>
      <c r="V32" s="9">
        <f t="shared" si="6"/>
        <v>0</v>
      </c>
      <c r="W32" s="9">
        <f t="shared" si="6"/>
        <v>0</v>
      </c>
      <c r="X32" s="9">
        <f t="shared" si="6"/>
        <v>0</v>
      </c>
      <c r="Y32" s="9">
        <f t="shared" si="6"/>
        <v>0</v>
      </c>
      <c r="Z32" s="9">
        <f t="shared" si="6"/>
        <v>0</v>
      </c>
      <c r="AA32" s="9">
        <f t="shared" si="6"/>
        <v>0</v>
      </c>
      <c r="AB32" s="9">
        <f t="shared" si="6"/>
        <v>0</v>
      </c>
      <c r="AC32" s="9">
        <f t="shared" si="6"/>
        <v>0</v>
      </c>
      <c r="AD32" s="9">
        <f t="shared" si="6"/>
        <v>0</v>
      </c>
      <c r="AE32" s="9">
        <f t="shared" si="6"/>
        <v>0</v>
      </c>
      <c r="AF32" s="9">
        <f t="shared" si="6"/>
        <v>0</v>
      </c>
      <c r="AG32" s="9">
        <f t="shared" si="6"/>
        <v>0</v>
      </c>
      <c r="AH32" s="9">
        <f t="shared" si="6"/>
        <v>0</v>
      </c>
      <c r="AI32" s="9">
        <f t="shared" si="6"/>
        <v>0</v>
      </c>
      <c r="AJ32" s="365">
        <f t="shared" si="3"/>
        <v>0</v>
      </c>
      <c r="AK32" s="460">
        <f t="shared" si="7"/>
        <v>0</v>
      </c>
      <c r="AP32" s="525"/>
    </row>
    <row r="33" spans="1:37" ht="14">
      <c r="A33" s="402" t="s">
        <v>658</v>
      </c>
      <c r="B33" s="403">
        <v>15062402</v>
      </c>
      <c r="C33" s="403">
        <v>126</v>
      </c>
      <c r="D33" s="402" t="s">
        <v>242</v>
      </c>
      <c r="E33" s="402" t="s">
        <v>242</v>
      </c>
      <c r="F33" s="483">
        <v>16162.77</v>
      </c>
      <c r="G33" s="528">
        <v>16162.77</v>
      </c>
      <c r="H33" s="530">
        <v>14457.15</v>
      </c>
      <c r="I33" s="533">
        <v>16428.900000000001</v>
      </c>
      <c r="J33" s="536">
        <v>15090.09</v>
      </c>
      <c r="K33" s="537">
        <v>12228.75</v>
      </c>
      <c r="L33" s="501">
        <v>12433.01</v>
      </c>
      <c r="M33" s="543">
        <v>12433.01</v>
      </c>
      <c r="N33" s="530">
        <v>15610.89</v>
      </c>
      <c r="O33" s="546">
        <v>15295.39</v>
      </c>
      <c r="P33" s="549">
        <v>15784.05</v>
      </c>
      <c r="Q33" s="482">
        <v>15023.32</v>
      </c>
      <c r="R33" s="412">
        <f t="shared" si="4"/>
        <v>86579.670000000013</v>
      </c>
      <c r="S33" s="456">
        <f t="shared" si="5"/>
        <v>14429.945000000002</v>
      </c>
      <c r="U33" s="9">
        <f t="shared" si="6"/>
        <v>0</v>
      </c>
      <c r="V33" s="9">
        <f t="shared" si="6"/>
        <v>0</v>
      </c>
      <c r="W33" s="9">
        <f t="shared" si="6"/>
        <v>0</v>
      </c>
      <c r="X33" s="9">
        <f t="shared" si="6"/>
        <v>0</v>
      </c>
      <c r="Y33" s="9">
        <f t="shared" si="6"/>
        <v>0</v>
      </c>
      <c r="Z33" s="9">
        <f t="shared" si="6"/>
        <v>0</v>
      </c>
      <c r="AA33" s="9">
        <f t="shared" si="6"/>
        <v>0</v>
      </c>
      <c r="AB33" s="9">
        <f t="shared" si="6"/>
        <v>0</v>
      </c>
      <c r="AC33" s="9">
        <f t="shared" si="6"/>
        <v>126</v>
      </c>
      <c r="AD33" s="9">
        <f t="shared" si="6"/>
        <v>0</v>
      </c>
      <c r="AE33" s="9">
        <f t="shared" si="6"/>
        <v>0</v>
      </c>
      <c r="AF33" s="9">
        <f t="shared" si="6"/>
        <v>0</v>
      </c>
      <c r="AG33" s="9">
        <f t="shared" si="6"/>
        <v>0</v>
      </c>
      <c r="AH33" s="9">
        <f t="shared" si="6"/>
        <v>0</v>
      </c>
      <c r="AI33" s="9">
        <f t="shared" si="6"/>
        <v>0</v>
      </c>
      <c r="AJ33" s="365">
        <f t="shared" si="3"/>
        <v>126</v>
      </c>
      <c r="AK33" s="460">
        <f t="shared" si="7"/>
        <v>0</v>
      </c>
    </row>
    <row r="34" spans="1:37" ht="14">
      <c r="A34" s="402" t="s">
        <v>705</v>
      </c>
      <c r="B34" s="403">
        <v>15062403</v>
      </c>
      <c r="C34" s="403">
        <v>72</v>
      </c>
      <c r="D34" s="402"/>
      <c r="E34" s="402" t="s">
        <v>890</v>
      </c>
      <c r="F34" s="483">
        <v>10642.93</v>
      </c>
      <c r="G34" s="528">
        <v>10642.93</v>
      </c>
      <c r="H34" s="530">
        <v>8725.2000000000007</v>
      </c>
      <c r="I34" s="533">
        <v>8161.36</v>
      </c>
      <c r="J34" s="536">
        <v>8458.3799999999992</v>
      </c>
      <c r="K34" s="537">
        <v>6320.63</v>
      </c>
      <c r="L34" s="501">
        <v>6859.77</v>
      </c>
      <c r="M34" s="543">
        <v>6138.75</v>
      </c>
      <c r="N34" s="530">
        <v>8373.0400000000009</v>
      </c>
      <c r="O34" s="546">
        <v>8422</v>
      </c>
      <c r="P34" s="551">
        <v>8422</v>
      </c>
      <c r="Q34" s="482">
        <v>10996.69</v>
      </c>
      <c r="R34" s="412">
        <f t="shared" si="4"/>
        <v>49212.25</v>
      </c>
      <c r="S34" s="456">
        <f t="shared" si="5"/>
        <v>8202.0416666666661</v>
      </c>
      <c r="U34" s="9">
        <f t="shared" si="6"/>
        <v>0</v>
      </c>
      <c r="V34" s="9">
        <f t="shared" si="6"/>
        <v>0</v>
      </c>
      <c r="W34" s="9">
        <f t="shared" si="6"/>
        <v>0</v>
      </c>
      <c r="X34" s="9">
        <f t="shared" si="6"/>
        <v>0</v>
      </c>
      <c r="Y34" s="9">
        <f t="shared" si="6"/>
        <v>0</v>
      </c>
      <c r="Z34" s="9">
        <f t="shared" si="6"/>
        <v>0</v>
      </c>
      <c r="AA34" s="9">
        <f t="shared" si="6"/>
        <v>0</v>
      </c>
      <c r="AB34" s="9">
        <f t="shared" si="6"/>
        <v>0</v>
      </c>
      <c r="AC34" s="9">
        <f t="shared" si="6"/>
        <v>0</v>
      </c>
      <c r="AD34" s="9">
        <f t="shared" si="6"/>
        <v>0</v>
      </c>
      <c r="AE34" s="9">
        <f t="shared" si="6"/>
        <v>0</v>
      </c>
      <c r="AF34" s="9">
        <f t="shared" si="6"/>
        <v>0</v>
      </c>
      <c r="AG34" s="9">
        <f t="shared" si="6"/>
        <v>0</v>
      </c>
      <c r="AH34" s="9">
        <f t="shared" si="6"/>
        <v>0</v>
      </c>
      <c r="AI34" s="9">
        <f t="shared" si="6"/>
        <v>72</v>
      </c>
      <c r="AJ34" s="365">
        <f t="shared" si="3"/>
        <v>72</v>
      </c>
      <c r="AK34" s="460">
        <f t="shared" si="7"/>
        <v>0</v>
      </c>
    </row>
    <row r="35" spans="1:37" ht="14">
      <c r="A35" s="402" t="s">
        <v>535</v>
      </c>
      <c r="B35" s="403">
        <v>15006827</v>
      </c>
      <c r="C35" s="403">
        <v>114</v>
      </c>
      <c r="D35" s="402" t="s">
        <v>598</v>
      </c>
      <c r="E35" s="402" t="s">
        <v>344</v>
      </c>
      <c r="F35" s="483">
        <v>25880.46</v>
      </c>
      <c r="G35" s="528">
        <v>27510.85</v>
      </c>
      <c r="H35" s="530">
        <v>27559.13</v>
      </c>
      <c r="I35" s="533">
        <v>35710.120000000003</v>
      </c>
      <c r="J35" s="536">
        <v>26370.400000000001</v>
      </c>
      <c r="K35" s="537">
        <v>11347.84</v>
      </c>
      <c r="L35" s="501">
        <v>12791.34</v>
      </c>
      <c r="M35" s="543">
        <v>12607.53</v>
      </c>
      <c r="N35" s="530">
        <v>24948.57</v>
      </c>
      <c r="O35" s="546">
        <v>29231.66</v>
      </c>
      <c r="P35" s="549">
        <v>26157.63</v>
      </c>
      <c r="Q35" s="482">
        <v>24994.51</v>
      </c>
      <c r="R35" s="412">
        <f t="shared" si="4"/>
        <v>130731.24</v>
      </c>
      <c r="S35" s="456">
        <f t="shared" si="5"/>
        <v>21788.54</v>
      </c>
      <c r="U35" s="9">
        <f t="shared" si="6"/>
        <v>0</v>
      </c>
      <c r="V35" s="9">
        <f t="shared" si="6"/>
        <v>0</v>
      </c>
      <c r="W35" s="9">
        <f t="shared" si="6"/>
        <v>0</v>
      </c>
      <c r="X35" s="9">
        <f t="shared" si="6"/>
        <v>0</v>
      </c>
      <c r="Y35" s="9">
        <f t="shared" si="6"/>
        <v>0</v>
      </c>
      <c r="Z35" s="9">
        <f t="shared" si="6"/>
        <v>0</v>
      </c>
      <c r="AA35" s="9">
        <f t="shared" si="6"/>
        <v>0</v>
      </c>
      <c r="AB35" s="9">
        <f t="shared" si="6"/>
        <v>114</v>
      </c>
      <c r="AC35" s="9">
        <f t="shared" si="6"/>
        <v>0</v>
      </c>
      <c r="AD35" s="9">
        <f t="shared" si="6"/>
        <v>0</v>
      </c>
      <c r="AE35" s="9">
        <f t="shared" si="6"/>
        <v>0</v>
      </c>
      <c r="AF35" s="9">
        <f t="shared" si="6"/>
        <v>0</v>
      </c>
      <c r="AG35" s="9">
        <f t="shared" si="6"/>
        <v>0</v>
      </c>
      <c r="AH35" s="9">
        <f t="shared" si="6"/>
        <v>0</v>
      </c>
      <c r="AI35" s="9">
        <f t="shared" si="6"/>
        <v>0</v>
      </c>
      <c r="AJ35" s="365">
        <f t="shared" si="3"/>
        <v>114</v>
      </c>
      <c r="AK35" s="460">
        <f t="shared" si="7"/>
        <v>0</v>
      </c>
    </row>
    <row r="36" spans="1:37" ht="14">
      <c r="A36" s="402" t="s">
        <v>537</v>
      </c>
      <c r="B36" s="403">
        <v>15036833</v>
      </c>
      <c r="C36" s="403">
        <v>60</v>
      </c>
      <c r="D36" s="402" t="s">
        <v>591</v>
      </c>
      <c r="E36" s="402" t="s">
        <v>591</v>
      </c>
      <c r="F36" s="483">
        <v>13275.4</v>
      </c>
      <c r="G36" s="528">
        <v>13275.4</v>
      </c>
      <c r="H36" s="530">
        <v>14208.83</v>
      </c>
      <c r="I36" s="533">
        <v>17730.38</v>
      </c>
      <c r="J36" s="536">
        <v>14199.58</v>
      </c>
      <c r="K36" s="537">
        <v>6217.82</v>
      </c>
      <c r="L36" s="501">
        <v>6171.51</v>
      </c>
      <c r="M36" s="543">
        <v>7983.75</v>
      </c>
      <c r="N36" s="530">
        <v>9298.3799999999992</v>
      </c>
      <c r="O36" s="546">
        <v>15921.52</v>
      </c>
      <c r="P36" s="549">
        <v>11567.51</v>
      </c>
      <c r="Q36" s="482">
        <v>11518.35</v>
      </c>
      <c r="R36" s="412">
        <f t="shared" si="4"/>
        <v>62461.020000000004</v>
      </c>
      <c r="S36" s="456">
        <f t="shared" si="5"/>
        <v>10410.17</v>
      </c>
      <c r="U36" s="9">
        <f t="shared" ref="U36:AI52" si="16">+IF($A36=U$3,$C36,0)</f>
        <v>0</v>
      </c>
      <c r="V36" s="9">
        <f t="shared" si="16"/>
        <v>60</v>
      </c>
      <c r="W36" s="9">
        <f t="shared" si="16"/>
        <v>0</v>
      </c>
      <c r="X36" s="9">
        <f t="shared" si="16"/>
        <v>0</v>
      </c>
      <c r="Y36" s="9">
        <f t="shared" si="16"/>
        <v>0</v>
      </c>
      <c r="Z36" s="9">
        <f t="shared" si="16"/>
        <v>0</v>
      </c>
      <c r="AA36" s="9">
        <f t="shared" si="16"/>
        <v>0</v>
      </c>
      <c r="AB36" s="9">
        <f t="shared" si="16"/>
        <v>0</v>
      </c>
      <c r="AC36" s="9">
        <f t="shared" si="16"/>
        <v>0</v>
      </c>
      <c r="AD36" s="9">
        <f t="shared" si="16"/>
        <v>0</v>
      </c>
      <c r="AE36" s="9">
        <f t="shared" si="16"/>
        <v>0</v>
      </c>
      <c r="AF36" s="9">
        <f t="shared" si="16"/>
        <v>0</v>
      </c>
      <c r="AG36" s="9">
        <f t="shared" si="16"/>
        <v>0</v>
      </c>
      <c r="AH36" s="9">
        <f t="shared" si="16"/>
        <v>0</v>
      </c>
      <c r="AI36" s="9">
        <f t="shared" si="16"/>
        <v>0</v>
      </c>
      <c r="AJ36" s="365">
        <f t="shared" si="3"/>
        <v>60</v>
      </c>
      <c r="AK36" s="460">
        <f t="shared" si="7"/>
        <v>0</v>
      </c>
    </row>
    <row r="37" spans="1:37" ht="14">
      <c r="A37" s="402" t="s">
        <v>530</v>
      </c>
      <c r="B37" s="403">
        <v>15059799</v>
      </c>
      <c r="C37" s="403">
        <v>84</v>
      </c>
      <c r="D37" s="402"/>
      <c r="E37" s="402" t="s">
        <v>887</v>
      </c>
      <c r="F37" s="483">
        <v>20041.439999999999</v>
      </c>
      <c r="G37" s="528">
        <v>18197.62</v>
      </c>
      <c r="H37" s="530">
        <v>20153.939999999999</v>
      </c>
      <c r="I37" s="533">
        <v>23795.18</v>
      </c>
      <c r="J37" s="536">
        <v>19819.63</v>
      </c>
      <c r="K37" s="537">
        <v>11432.02</v>
      </c>
      <c r="L37" s="501">
        <v>11200.84</v>
      </c>
      <c r="M37" s="543">
        <v>12357.08</v>
      </c>
      <c r="N37" s="530">
        <v>17552.12</v>
      </c>
      <c r="O37" s="546">
        <v>19936.7</v>
      </c>
      <c r="P37" s="549">
        <v>15170.73</v>
      </c>
      <c r="Q37" s="482">
        <v>15320.71</v>
      </c>
      <c r="R37" s="412">
        <f t="shared" si="4"/>
        <v>91538.18</v>
      </c>
      <c r="S37" s="456">
        <f t="shared" si="5"/>
        <v>15256.363333333333</v>
      </c>
      <c r="U37" s="9">
        <f t="shared" si="16"/>
        <v>0</v>
      </c>
      <c r="V37" s="9">
        <f t="shared" si="16"/>
        <v>0</v>
      </c>
      <c r="W37" s="9">
        <f t="shared" si="16"/>
        <v>0</v>
      </c>
      <c r="X37" s="9">
        <f t="shared" si="16"/>
        <v>0</v>
      </c>
      <c r="Y37" s="9">
        <f t="shared" si="16"/>
        <v>0</v>
      </c>
      <c r="Z37" s="9">
        <f t="shared" si="16"/>
        <v>84</v>
      </c>
      <c r="AA37" s="9">
        <f t="shared" si="16"/>
        <v>0</v>
      </c>
      <c r="AB37" s="9">
        <f t="shared" si="16"/>
        <v>0</v>
      </c>
      <c r="AC37" s="9">
        <f t="shared" si="16"/>
        <v>0</v>
      </c>
      <c r="AD37" s="9">
        <f t="shared" si="16"/>
        <v>0</v>
      </c>
      <c r="AE37" s="9">
        <f t="shared" si="16"/>
        <v>0</v>
      </c>
      <c r="AF37" s="9">
        <f t="shared" si="16"/>
        <v>0</v>
      </c>
      <c r="AG37" s="9">
        <f t="shared" si="16"/>
        <v>0</v>
      </c>
      <c r="AH37" s="9">
        <f t="shared" si="16"/>
        <v>0</v>
      </c>
      <c r="AI37" s="9">
        <f t="shared" si="16"/>
        <v>0</v>
      </c>
      <c r="AJ37" s="365">
        <f t="shared" si="3"/>
        <v>84</v>
      </c>
      <c r="AK37" s="460">
        <f t="shared" si="7"/>
        <v>0</v>
      </c>
    </row>
    <row r="38" spans="1:37" ht="14">
      <c r="A38" s="402" t="s">
        <v>530</v>
      </c>
      <c r="B38" s="403">
        <v>7002501</v>
      </c>
      <c r="C38" s="403">
        <v>79</v>
      </c>
      <c r="D38" s="402"/>
      <c r="E38" s="402" t="s">
        <v>892</v>
      </c>
      <c r="F38" s="483">
        <v>22462.63</v>
      </c>
      <c r="G38" s="528">
        <v>21059.24</v>
      </c>
      <c r="H38" s="530">
        <v>21838.560000000001</v>
      </c>
      <c r="I38" s="533">
        <v>27830</v>
      </c>
      <c r="J38" s="536">
        <v>21204.2</v>
      </c>
      <c r="K38" s="537">
        <v>12119</v>
      </c>
      <c r="L38" s="501">
        <v>9587.0400000000009</v>
      </c>
      <c r="M38" s="543">
        <v>10220.07</v>
      </c>
      <c r="N38" s="530">
        <v>16701</v>
      </c>
      <c r="O38" s="546">
        <v>20988.01</v>
      </c>
      <c r="P38" s="483">
        <v>20088.64</v>
      </c>
      <c r="Q38" s="482">
        <v>19751.71</v>
      </c>
      <c r="R38" s="412">
        <f t="shared" si="4"/>
        <v>97336.47</v>
      </c>
      <c r="S38" s="456">
        <f t="shared" si="5"/>
        <v>16222.745000000001</v>
      </c>
      <c r="U38" s="9">
        <f t="shared" si="16"/>
        <v>0</v>
      </c>
      <c r="V38" s="9">
        <f t="shared" si="16"/>
        <v>0</v>
      </c>
      <c r="W38" s="9">
        <f t="shared" si="16"/>
        <v>0</v>
      </c>
      <c r="X38" s="9">
        <f t="shared" si="16"/>
        <v>0</v>
      </c>
      <c r="Y38" s="9">
        <f t="shared" si="16"/>
        <v>0</v>
      </c>
      <c r="Z38" s="9">
        <f t="shared" si="16"/>
        <v>79</v>
      </c>
      <c r="AA38" s="9">
        <f t="shared" si="16"/>
        <v>0</v>
      </c>
      <c r="AB38" s="9">
        <f t="shared" si="16"/>
        <v>0</v>
      </c>
      <c r="AC38" s="9">
        <f t="shared" si="16"/>
        <v>0</v>
      </c>
      <c r="AD38" s="9">
        <f t="shared" si="16"/>
        <v>0</v>
      </c>
      <c r="AE38" s="9">
        <f t="shared" si="16"/>
        <v>0</v>
      </c>
      <c r="AF38" s="9">
        <f t="shared" si="16"/>
        <v>0</v>
      </c>
      <c r="AG38" s="9">
        <f t="shared" si="16"/>
        <v>0</v>
      </c>
      <c r="AH38" s="9">
        <f t="shared" si="16"/>
        <v>0</v>
      </c>
      <c r="AI38" s="9">
        <f t="shared" si="16"/>
        <v>0</v>
      </c>
      <c r="AJ38" s="365">
        <f t="shared" si="3"/>
        <v>79</v>
      </c>
      <c r="AK38" s="460">
        <f t="shared" si="7"/>
        <v>0</v>
      </c>
    </row>
    <row r="39" spans="1:37" ht="14">
      <c r="A39" s="402" t="s">
        <v>659</v>
      </c>
      <c r="B39" s="403">
        <v>15056860</v>
      </c>
      <c r="C39" s="403">
        <v>56</v>
      </c>
      <c r="D39" s="402" t="s">
        <v>565</v>
      </c>
      <c r="E39" s="402" t="s">
        <v>565</v>
      </c>
      <c r="F39" s="483">
        <v>9189.73</v>
      </c>
      <c r="G39" s="528">
        <v>6166.03</v>
      </c>
      <c r="H39" s="530">
        <v>7474.92</v>
      </c>
      <c r="I39" s="536">
        <v>11318.01</v>
      </c>
      <c r="J39" s="536">
        <v>7792.92</v>
      </c>
      <c r="K39" s="537">
        <v>3661.07</v>
      </c>
      <c r="L39" s="501">
        <v>3017.17</v>
      </c>
      <c r="M39" s="543">
        <v>3226.18</v>
      </c>
      <c r="N39" s="530">
        <v>5385.43</v>
      </c>
      <c r="O39" s="546">
        <v>6868.99</v>
      </c>
      <c r="P39" s="549">
        <v>4576.28</v>
      </c>
      <c r="Q39" s="482">
        <v>3784.41</v>
      </c>
      <c r="R39" s="412">
        <f t="shared" si="4"/>
        <v>26858.46</v>
      </c>
      <c r="S39" s="456">
        <f t="shared" si="5"/>
        <v>4476.41</v>
      </c>
      <c r="U39" s="9">
        <f t="shared" si="16"/>
        <v>0</v>
      </c>
      <c r="V39" s="9">
        <f t="shared" si="16"/>
        <v>0</v>
      </c>
      <c r="W39" s="9">
        <f t="shared" si="16"/>
        <v>0</v>
      </c>
      <c r="X39" s="9">
        <f t="shared" si="16"/>
        <v>0</v>
      </c>
      <c r="Y39" s="9">
        <f t="shared" si="16"/>
        <v>0</v>
      </c>
      <c r="Z39" s="9">
        <f t="shared" si="16"/>
        <v>0</v>
      </c>
      <c r="AA39" s="9">
        <f t="shared" si="16"/>
        <v>0</v>
      </c>
      <c r="AB39" s="9">
        <f t="shared" si="16"/>
        <v>0</v>
      </c>
      <c r="AC39" s="9">
        <f t="shared" si="16"/>
        <v>0</v>
      </c>
      <c r="AD39" s="9">
        <f t="shared" si="16"/>
        <v>0</v>
      </c>
      <c r="AE39" s="9">
        <f t="shared" si="16"/>
        <v>0</v>
      </c>
      <c r="AF39" s="9">
        <f t="shared" si="16"/>
        <v>56</v>
      </c>
      <c r="AG39" s="9">
        <f t="shared" si="16"/>
        <v>0</v>
      </c>
      <c r="AH39" s="9">
        <f t="shared" si="16"/>
        <v>0</v>
      </c>
      <c r="AI39" s="9">
        <f t="shared" si="16"/>
        <v>0</v>
      </c>
      <c r="AJ39" s="365">
        <f t="shared" si="3"/>
        <v>56</v>
      </c>
      <c r="AK39" s="460">
        <f t="shared" si="7"/>
        <v>0</v>
      </c>
    </row>
    <row r="40" spans="1:37" ht="14">
      <c r="A40" s="402" t="s">
        <v>659</v>
      </c>
      <c r="B40" s="403">
        <v>15007588</v>
      </c>
      <c r="C40" s="403">
        <v>125</v>
      </c>
      <c r="D40" s="402" t="s">
        <v>620</v>
      </c>
      <c r="E40" s="402" t="s">
        <v>667</v>
      </c>
      <c r="F40" s="537">
        <v>27898.95</v>
      </c>
      <c r="G40" s="536">
        <v>21078.05</v>
      </c>
      <c r="H40" s="533">
        <v>27933.74</v>
      </c>
      <c r="I40" s="533">
        <v>36044.25</v>
      </c>
      <c r="J40" s="536">
        <v>26077.42</v>
      </c>
      <c r="K40" s="537">
        <v>14014.67</v>
      </c>
      <c r="L40" s="501">
        <v>12222.39</v>
      </c>
      <c r="M40" s="543">
        <v>13252.05</v>
      </c>
      <c r="N40" s="530">
        <v>25823.32</v>
      </c>
      <c r="O40" s="482"/>
      <c r="P40" s="549">
        <v>24677.02</v>
      </c>
      <c r="Q40" s="482">
        <v>28347.37</v>
      </c>
      <c r="R40" s="412">
        <f t="shared" si="4"/>
        <v>104322.15</v>
      </c>
      <c r="S40" s="456">
        <f t="shared" si="5"/>
        <v>17387.024999999998</v>
      </c>
      <c r="U40" s="9">
        <f t="shared" si="16"/>
        <v>0</v>
      </c>
      <c r="V40" s="9">
        <f t="shared" si="16"/>
        <v>0</v>
      </c>
      <c r="W40" s="9">
        <f t="shared" si="16"/>
        <v>0</v>
      </c>
      <c r="X40" s="9">
        <f t="shared" si="16"/>
        <v>0</v>
      </c>
      <c r="Y40" s="9">
        <f t="shared" si="16"/>
        <v>0</v>
      </c>
      <c r="Z40" s="9">
        <f t="shared" si="16"/>
        <v>0</v>
      </c>
      <c r="AA40" s="9">
        <f t="shared" si="16"/>
        <v>0</v>
      </c>
      <c r="AB40" s="9">
        <f t="shared" si="16"/>
        <v>0</v>
      </c>
      <c r="AC40" s="9">
        <f t="shared" si="16"/>
        <v>0</v>
      </c>
      <c r="AD40" s="9">
        <f t="shared" si="16"/>
        <v>0</v>
      </c>
      <c r="AE40" s="9">
        <f t="shared" si="16"/>
        <v>0</v>
      </c>
      <c r="AF40" s="9">
        <f t="shared" si="16"/>
        <v>125</v>
      </c>
      <c r="AG40" s="9">
        <f t="shared" si="16"/>
        <v>0</v>
      </c>
      <c r="AH40" s="9">
        <f t="shared" si="16"/>
        <v>0</v>
      </c>
      <c r="AI40" s="9">
        <f t="shared" si="16"/>
        <v>0</v>
      </c>
      <c r="AJ40" s="365">
        <f t="shared" si="3"/>
        <v>125</v>
      </c>
      <c r="AK40" s="460">
        <f t="shared" si="7"/>
        <v>0</v>
      </c>
    </row>
    <row r="41" spans="1:37" ht="14">
      <c r="A41" s="402" t="s">
        <v>658</v>
      </c>
      <c r="B41" s="403">
        <v>15034969</v>
      </c>
      <c r="C41" s="403">
        <v>88</v>
      </c>
      <c r="D41" s="402" t="s">
        <v>732</v>
      </c>
      <c r="E41" s="402" t="s">
        <v>667</v>
      </c>
      <c r="F41" s="483">
        <v>25400.47</v>
      </c>
      <c r="G41" s="528">
        <v>22963.360000000001</v>
      </c>
      <c r="H41" s="530">
        <v>23867.75</v>
      </c>
      <c r="I41" s="533">
        <v>30283.96</v>
      </c>
      <c r="J41" s="536">
        <v>23387.61</v>
      </c>
      <c r="K41" s="537">
        <v>13642.12</v>
      </c>
      <c r="L41" s="501">
        <v>16706.349999999999</v>
      </c>
      <c r="M41" s="543">
        <v>17266.45</v>
      </c>
      <c r="N41" s="530">
        <v>24344.54</v>
      </c>
      <c r="O41" s="546">
        <v>27027.119999999999</v>
      </c>
      <c r="P41" s="482"/>
      <c r="Q41" s="482">
        <v>25490.74</v>
      </c>
      <c r="R41" s="412">
        <f t="shared" si="4"/>
        <v>110835.20000000001</v>
      </c>
      <c r="S41" s="456">
        <f t="shared" si="5"/>
        <v>18472.533333333336</v>
      </c>
      <c r="U41" s="9">
        <f t="shared" si="16"/>
        <v>0</v>
      </c>
      <c r="V41" s="9">
        <f t="shared" si="16"/>
        <v>0</v>
      </c>
      <c r="W41" s="9">
        <f t="shared" si="16"/>
        <v>0</v>
      </c>
      <c r="X41" s="9">
        <f t="shared" si="16"/>
        <v>0</v>
      </c>
      <c r="Y41" s="9">
        <f t="shared" si="16"/>
        <v>0</v>
      </c>
      <c r="Z41" s="9">
        <f t="shared" si="16"/>
        <v>0</v>
      </c>
      <c r="AA41" s="9">
        <f t="shared" si="16"/>
        <v>0</v>
      </c>
      <c r="AB41" s="9">
        <f t="shared" si="16"/>
        <v>0</v>
      </c>
      <c r="AC41" s="9">
        <f t="shared" si="16"/>
        <v>88</v>
      </c>
      <c r="AD41" s="9">
        <f t="shared" si="16"/>
        <v>0</v>
      </c>
      <c r="AE41" s="9">
        <f t="shared" si="16"/>
        <v>0</v>
      </c>
      <c r="AF41" s="9">
        <f t="shared" si="16"/>
        <v>0</v>
      </c>
      <c r="AG41" s="9">
        <f t="shared" si="16"/>
        <v>0</v>
      </c>
      <c r="AH41" s="9">
        <f t="shared" si="16"/>
        <v>0</v>
      </c>
      <c r="AI41" s="9">
        <f t="shared" si="16"/>
        <v>0</v>
      </c>
      <c r="AJ41" s="365">
        <f t="shared" si="3"/>
        <v>88</v>
      </c>
      <c r="AK41" s="460">
        <f t="shared" si="7"/>
        <v>0</v>
      </c>
    </row>
    <row r="42" spans="1:37" ht="14">
      <c r="A42" s="402" t="s">
        <v>531</v>
      </c>
      <c r="B42" s="403">
        <v>7003500</v>
      </c>
      <c r="C42" s="403">
        <v>366</v>
      </c>
      <c r="D42" s="402" t="s">
        <v>350</v>
      </c>
      <c r="E42" s="402" t="s">
        <v>350</v>
      </c>
      <c r="F42" s="483">
        <v>86151.41</v>
      </c>
      <c r="G42" s="528">
        <v>82440.820000000007</v>
      </c>
      <c r="H42" s="530">
        <v>111920.01</v>
      </c>
      <c r="I42" s="533">
        <v>161331.53</v>
      </c>
      <c r="J42" s="536">
        <v>124636.1</v>
      </c>
      <c r="K42" s="537">
        <v>52411.26</v>
      </c>
      <c r="L42" s="501">
        <v>67025.39</v>
      </c>
      <c r="M42" s="543">
        <v>78747.149999999994</v>
      </c>
      <c r="N42" s="530">
        <v>113284.63</v>
      </c>
      <c r="O42" s="546">
        <v>139003.20000000001</v>
      </c>
      <c r="P42" s="549">
        <v>87431.43</v>
      </c>
      <c r="Q42" s="482">
        <v>112922.16</v>
      </c>
      <c r="R42" s="412">
        <f t="shared" si="4"/>
        <v>598413.96</v>
      </c>
      <c r="S42" s="456">
        <f t="shared" si="5"/>
        <v>99735.659999999989</v>
      </c>
      <c r="U42" s="9">
        <f t="shared" si="16"/>
        <v>0</v>
      </c>
      <c r="V42" s="9">
        <f t="shared" si="16"/>
        <v>0</v>
      </c>
      <c r="W42" s="9">
        <f t="shared" si="16"/>
        <v>0</v>
      </c>
      <c r="X42" s="9">
        <f t="shared" si="16"/>
        <v>366</v>
      </c>
      <c r="Y42" s="9">
        <f t="shared" si="16"/>
        <v>0</v>
      </c>
      <c r="Z42" s="9">
        <f t="shared" si="16"/>
        <v>0</v>
      </c>
      <c r="AA42" s="9">
        <f t="shared" si="16"/>
        <v>0</v>
      </c>
      <c r="AB42" s="9">
        <f t="shared" si="16"/>
        <v>0</v>
      </c>
      <c r="AC42" s="9">
        <f t="shared" si="16"/>
        <v>0</v>
      </c>
      <c r="AD42" s="9">
        <f t="shared" si="16"/>
        <v>0</v>
      </c>
      <c r="AE42" s="9">
        <f t="shared" si="16"/>
        <v>0</v>
      </c>
      <c r="AF42" s="9">
        <f t="shared" si="16"/>
        <v>0</v>
      </c>
      <c r="AG42" s="9">
        <f t="shared" si="16"/>
        <v>0</v>
      </c>
      <c r="AH42" s="9">
        <f t="shared" si="16"/>
        <v>0</v>
      </c>
      <c r="AI42" s="9">
        <f t="shared" si="16"/>
        <v>0</v>
      </c>
      <c r="AJ42" s="365">
        <f t="shared" si="3"/>
        <v>366</v>
      </c>
      <c r="AK42" s="460">
        <f t="shared" si="7"/>
        <v>0</v>
      </c>
    </row>
    <row r="43" spans="1:37" ht="14">
      <c r="A43" s="402" t="s">
        <v>530</v>
      </c>
      <c r="B43" s="403">
        <v>15078590</v>
      </c>
      <c r="C43" s="403">
        <v>100</v>
      </c>
      <c r="D43" s="402" t="s">
        <v>517</v>
      </c>
      <c r="E43" s="402" t="s">
        <v>247</v>
      </c>
      <c r="F43" s="483">
        <v>21801.98</v>
      </c>
      <c r="G43" s="528">
        <v>17945</v>
      </c>
      <c r="H43" s="530">
        <v>20337.689999999999</v>
      </c>
      <c r="I43" s="533">
        <v>31221.24</v>
      </c>
      <c r="J43" s="536">
        <v>23833.59</v>
      </c>
      <c r="K43" s="537">
        <v>9810.2199999999993</v>
      </c>
      <c r="L43" s="501">
        <v>13483.88</v>
      </c>
      <c r="M43" s="543">
        <v>14175.41</v>
      </c>
      <c r="N43" s="530">
        <v>25760.86</v>
      </c>
      <c r="O43" s="546">
        <v>28015.84</v>
      </c>
      <c r="P43" s="549">
        <v>19528.13</v>
      </c>
      <c r="Q43" s="482">
        <v>23359.68</v>
      </c>
      <c r="R43" s="412">
        <f t="shared" si="4"/>
        <v>124323.80000000002</v>
      </c>
      <c r="S43" s="456">
        <f t="shared" si="5"/>
        <v>20720.633333333335</v>
      </c>
      <c r="U43" s="9">
        <f t="shared" si="16"/>
        <v>0</v>
      </c>
      <c r="V43" s="9">
        <f t="shared" si="16"/>
        <v>0</v>
      </c>
      <c r="W43" s="9">
        <f t="shared" si="16"/>
        <v>0</v>
      </c>
      <c r="X43" s="9">
        <f t="shared" si="16"/>
        <v>0</v>
      </c>
      <c r="Y43" s="9">
        <f t="shared" si="16"/>
        <v>0</v>
      </c>
      <c r="Z43" s="9">
        <f t="shared" si="16"/>
        <v>100</v>
      </c>
      <c r="AA43" s="9">
        <f t="shared" si="16"/>
        <v>0</v>
      </c>
      <c r="AB43" s="9">
        <f t="shared" si="16"/>
        <v>0</v>
      </c>
      <c r="AC43" s="9">
        <f t="shared" si="16"/>
        <v>0</v>
      </c>
      <c r="AD43" s="9">
        <f t="shared" si="16"/>
        <v>0</v>
      </c>
      <c r="AE43" s="9">
        <f t="shared" si="16"/>
        <v>0</v>
      </c>
      <c r="AF43" s="9">
        <f t="shared" si="16"/>
        <v>0</v>
      </c>
      <c r="AG43" s="9">
        <f t="shared" si="16"/>
        <v>0</v>
      </c>
      <c r="AH43" s="9">
        <f t="shared" si="16"/>
        <v>0</v>
      </c>
      <c r="AI43" s="9">
        <f t="shared" si="16"/>
        <v>0</v>
      </c>
      <c r="AJ43" s="365">
        <f t="shared" si="3"/>
        <v>100</v>
      </c>
      <c r="AK43" s="460">
        <f t="shared" si="7"/>
        <v>0</v>
      </c>
    </row>
    <row r="44" spans="1:37" ht="14">
      <c r="A44" s="402" t="s">
        <v>658</v>
      </c>
      <c r="B44" s="403">
        <v>15054166</v>
      </c>
      <c r="C44" s="403">
        <v>174</v>
      </c>
      <c r="D44" s="402" t="s">
        <v>671</v>
      </c>
      <c r="E44" s="402" t="s">
        <v>670</v>
      </c>
      <c r="F44" s="483">
        <v>55965.71</v>
      </c>
      <c r="G44" s="528">
        <v>49778.48</v>
      </c>
      <c r="H44" s="530">
        <v>54832.91</v>
      </c>
      <c r="I44" s="533">
        <v>76385.17</v>
      </c>
      <c r="J44" s="536">
        <v>50552.66</v>
      </c>
      <c r="K44" s="537">
        <v>31238.28</v>
      </c>
      <c r="L44" s="501">
        <v>33118.46</v>
      </c>
      <c r="M44" s="543">
        <v>36180.22</v>
      </c>
      <c r="N44" s="530">
        <v>52933.55</v>
      </c>
      <c r="O44" s="546">
        <v>55620.2</v>
      </c>
      <c r="P44" s="549">
        <v>53761.25</v>
      </c>
      <c r="Q44" s="482">
        <v>57737.02</v>
      </c>
      <c r="R44" s="412">
        <f t="shared" si="4"/>
        <v>289350.7</v>
      </c>
      <c r="S44" s="456">
        <f t="shared" si="5"/>
        <v>48225.116666666669</v>
      </c>
      <c r="U44" s="9">
        <f t="shared" si="16"/>
        <v>0</v>
      </c>
      <c r="V44" s="9">
        <f t="shared" si="16"/>
        <v>0</v>
      </c>
      <c r="W44" s="9">
        <f t="shared" si="16"/>
        <v>0</v>
      </c>
      <c r="X44" s="9">
        <f t="shared" si="16"/>
        <v>0</v>
      </c>
      <c r="Y44" s="9">
        <f t="shared" si="16"/>
        <v>0</v>
      </c>
      <c r="Z44" s="9">
        <f t="shared" si="16"/>
        <v>0</v>
      </c>
      <c r="AA44" s="9">
        <f t="shared" si="16"/>
        <v>0</v>
      </c>
      <c r="AB44" s="9">
        <f t="shared" si="16"/>
        <v>0</v>
      </c>
      <c r="AC44" s="9">
        <f t="shared" si="16"/>
        <v>174</v>
      </c>
      <c r="AD44" s="9">
        <f t="shared" si="16"/>
        <v>0</v>
      </c>
      <c r="AE44" s="9">
        <f t="shared" si="16"/>
        <v>0</v>
      </c>
      <c r="AF44" s="9">
        <f t="shared" si="16"/>
        <v>0</v>
      </c>
      <c r="AG44" s="9">
        <f t="shared" si="16"/>
        <v>0</v>
      </c>
      <c r="AH44" s="9">
        <f t="shared" si="16"/>
        <v>0</v>
      </c>
      <c r="AI44" s="9">
        <f t="shared" si="16"/>
        <v>0</v>
      </c>
      <c r="AJ44" s="365">
        <f t="shared" si="3"/>
        <v>174</v>
      </c>
      <c r="AK44" s="460">
        <f t="shared" si="7"/>
        <v>0</v>
      </c>
    </row>
    <row r="45" spans="1:37" ht="14">
      <c r="A45" s="402" t="s">
        <v>705</v>
      </c>
      <c r="B45" s="403">
        <v>15006999</v>
      </c>
      <c r="C45" s="403">
        <v>82</v>
      </c>
      <c r="D45" s="402" t="s">
        <v>527</v>
      </c>
      <c r="E45" s="402" t="s">
        <v>622</v>
      </c>
      <c r="F45" s="483">
        <v>19871.419999999998</v>
      </c>
      <c r="G45" s="528">
        <v>19231.61</v>
      </c>
      <c r="H45" s="530">
        <v>20986.12</v>
      </c>
      <c r="I45" s="533">
        <v>28123.67</v>
      </c>
      <c r="J45" s="536">
        <v>24055.45</v>
      </c>
      <c r="K45" s="537">
        <v>13416.17</v>
      </c>
      <c r="L45" s="501">
        <v>12362.14</v>
      </c>
      <c r="M45" s="543">
        <v>15541.21</v>
      </c>
      <c r="N45" s="530">
        <v>20898.599999999999</v>
      </c>
      <c r="O45" s="546">
        <v>23125.88</v>
      </c>
      <c r="P45" s="549">
        <v>20456.05</v>
      </c>
      <c r="Q45" s="482">
        <v>17334.25</v>
      </c>
      <c r="R45" s="412">
        <f t="shared" si="4"/>
        <v>109718.13</v>
      </c>
      <c r="S45" s="456">
        <f t="shared" si="5"/>
        <v>18286.355</v>
      </c>
      <c r="U45" s="9">
        <f t="shared" si="16"/>
        <v>0</v>
      </c>
      <c r="V45" s="9">
        <f t="shared" si="16"/>
        <v>0</v>
      </c>
      <c r="W45" s="9">
        <f t="shared" si="16"/>
        <v>0</v>
      </c>
      <c r="X45" s="9">
        <f t="shared" si="16"/>
        <v>0</v>
      </c>
      <c r="Y45" s="9">
        <f t="shared" si="16"/>
        <v>0</v>
      </c>
      <c r="Z45" s="9">
        <f t="shared" si="16"/>
        <v>0</v>
      </c>
      <c r="AA45" s="9">
        <f t="shared" si="16"/>
        <v>0</v>
      </c>
      <c r="AB45" s="9">
        <f t="shared" si="16"/>
        <v>0</v>
      </c>
      <c r="AC45" s="9">
        <f t="shared" si="16"/>
        <v>0</v>
      </c>
      <c r="AD45" s="9">
        <f t="shared" si="16"/>
        <v>0</v>
      </c>
      <c r="AE45" s="9">
        <f t="shared" si="16"/>
        <v>0</v>
      </c>
      <c r="AF45" s="9">
        <f t="shared" si="16"/>
        <v>0</v>
      </c>
      <c r="AG45" s="9">
        <f t="shared" si="16"/>
        <v>0</v>
      </c>
      <c r="AH45" s="9">
        <f t="shared" si="16"/>
        <v>0</v>
      </c>
      <c r="AI45" s="9">
        <f t="shared" si="16"/>
        <v>82</v>
      </c>
      <c r="AJ45" s="365">
        <f t="shared" si="3"/>
        <v>82</v>
      </c>
      <c r="AK45" s="460">
        <f t="shared" si="7"/>
        <v>0</v>
      </c>
    </row>
    <row r="46" spans="1:37" ht="14">
      <c r="A46" s="402" t="s">
        <v>664</v>
      </c>
      <c r="B46" s="403">
        <v>7009500</v>
      </c>
      <c r="C46" s="403">
        <v>96</v>
      </c>
      <c r="D46" s="402" t="s">
        <v>515</v>
      </c>
      <c r="E46" s="402" t="s">
        <v>515</v>
      </c>
      <c r="F46" s="483">
        <v>27405.11</v>
      </c>
      <c r="G46" s="528">
        <v>21977.119999999999</v>
      </c>
      <c r="H46" s="530">
        <v>24905.16</v>
      </c>
      <c r="I46" s="533">
        <v>32775.56</v>
      </c>
      <c r="J46" s="536">
        <v>27216.92</v>
      </c>
      <c r="K46" s="537">
        <v>16594.810000000001</v>
      </c>
      <c r="L46" s="501">
        <v>17093.57</v>
      </c>
      <c r="M46" s="543">
        <v>18257.09</v>
      </c>
      <c r="N46" s="530">
        <v>24280.27</v>
      </c>
      <c r="O46" s="546">
        <v>27734.12</v>
      </c>
      <c r="P46" s="549">
        <v>21266.17</v>
      </c>
      <c r="Q46" s="482">
        <v>23524.29</v>
      </c>
      <c r="R46" s="412">
        <f t="shared" si="4"/>
        <v>132155.51</v>
      </c>
      <c r="S46" s="456">
        <f t="shared" si="5"/>
        <v>22025.918333333335</v>
      </c>
      <c r="U46" s="9">
        <f t="shared" si="16"/>
        <v>0</v>
      </c>
      <c r="V46" s="9">
        <f t="shared" si="16"/>
        <v>0</v>
      </c>
      <c r="W46" s="9">
        <f t="shared" si="16"/>
        <v>0</v>
      </c>
      <c r="X46" s="9">
        <f t="shared" si="16"/>
        <v>0</v>
      </c>
      <c r="Y46" s="9">
        <f t="shared" si="16"/>
        <v>0</v>
      </c>
      <c r="Z46" s="9">
        <f t="shared" si="16"/>
        <v>0</v>
      </c>
      <c r="AA46" s="9">
        <f t="shared" si="16"/>
        <v>0</v>
      </c>
      <c r="AB46" s="9">
        <f t="shared" si="16"/>
        <v>0</v>
      </c>
      <c r="AC46" s="9">
        <f t="shared" si="16"/>
        <v>0</v>
      </c>
      <c r="AD46" s="9">
        <f t="shared" si="16"/>
        <v>0</v>
      </c>
      <c r="AE46" s="9">
        <f t="shared" si="16"/>
        <v>0</v>
      </c>
      <c r="AF46" s="9">
        <f t="shared" si="16"/>
        <v>0</v>
      </c>
      <c r="AG46" s="9">
        <f t="shared" si="16"/>
        <v>96</v>
      </c>
      <c r="AH46" s="9">
        <f t="shared" si="16"/>
        <v>0</v>
      </c>
      <c r="AI46" s="9">
        <f t="shared" si="16"/>
        <v>0</v>
      </c>
      <c r="AJ46" s="365">
        <f t="shared" si="3"/>
        <v>96</v>
      </c>
      <c r="AK46" s="460">
        <f t="shared" si="7"/>
        <v>0</v>
      </c>
    </row>
    <row r="47" spans="1:37" ht="14">
      <c r="A47" s="402" t="s">
        <v>659</v>
      </c>
      <c r="B47" s="404">
        <v>15037963</v>
      </c>
      <c r="C47" s="404">
        <v>78</v>
      </c>
      <c r="D47" s="405" t="s">
        <v>606</v>
      </c>
      <c r="E47" s="405" t="s">
        <v>605</v>
      </c>
      <c r="F47" s="483">
        <v>15608.19</v>
      </c>
      <c r="G47" s="528">
        <v>13429.8</v>
      </c>
      <c r="H47" s="530">
        <v>18123.060000000001</v>
      </c>
      <c r="I47" s="533">
        <v>24377.45</v>
      </c>
      <c r="J47" s="536">
        <v>19133.2</v>
      </c>
      <c r="K47" s="537">
        <v>10477.27</v>
      </c>
      <c r="L47" s="501">
        <v>10748.26</v>
      </c>
      <c r="M47" s="543">
        <v>9526.94</v>
      </c>
      <c r="N47" s="530">
        <v>17660.02</v>
      </c>
      <c r="O47" s="546">
        <v>20828.68</v>
      </c>
      <c r="P47" s="549">
        <v>15593.88</v>
      </c>
      <c r="Q47" s="482">
        <v>18692.27</v>
      </c>
      <c r="R47" s="412">
        <f t="shared" si="4"/>
        <v>93050.05</v>
      </c>
      <c r="S47" s="456">
        <f t="shared" si="5"/>
        <v>15508.341666666667</v>
      </c>
      <c r="U47" s="9">
        <f t="shared" si="16"/>
        <v>0</v>
      </c>
      <c r="V47" s="9">
        <f t="shared" si="16"/>
        <v>0</v>
      </c>
      <c r="W47" s="9">
        <f t="shared" si="16"/>
        <v>0</v>
      </c>
      <c r="X47" s="9">
        <f t="shared" si="16"/>
        <v>0</v>
      </c>
      <c r="Y47" s="9">
        <f t="shared" si="16"/>
        <v>0</v>
      </c>
      <c r="Z47" s="9">
        <f t="shared" si="16"/>
        <v>0</v>
      </c>
      <c r="AA47" s="9">
        <f t="shared" si="16"/>
        <v>0</v>
      </c>
      <c r="AB47" s="9">
        <f t="shared" si="16"/>
        <v>0</v>
      </c>
      <c r="AC47" s="9">
        <f t="shared" si="16"/>
        <v>0</v>
      </c>
      <c r="AD47" s="9">
        <f t="shared" si="16"/>
        <v>0</v>
      </c>
      <c r="AE47" s="9">
        <f t="shared" si="16"/>
        <v>0</v>
      </c>
      <c r="AF47" s="9">
        <f t="shared" si="16"/>
        <v>78</v>
      </c>
      <c r="AG47" s="9">
        <f t="shared" si="16"/>
        <v>0</v>
      </c>
      <c r="AH47" s="9">
        <f t="shared" si="16"/>
        <v>0</v>
      </c>
      <c r="AI47" s="9">
        <f t="shared" si="16"/>
        <v>0</v>
      </c>
      <c r="AJ47" s="365">
        <f t="shared" si="3"/>
        <v>78</v>
      </c>
      <c r="AK47" s="460">
        <f t="shared" si="7"/>
        <v>0</v>
      </c>
    </row>
    <row r="48" spans="1:37" ht="14">
      <c r="A48" s="402" t="s">
        <v>530</v>
      </c>
      <c r="B48" s="404">
        <v>15061297</v>
      </c>
      <c r="C48" s="404">
        <v>123</v>
      </c>
      <c r="D48" s="405"/>
      <c r="E48" s="405" t="s">
        <v>854</v>
      </c>
      <c r="F48" s="483">
        <v>23824.81</v>
      </c>
      <c r="G48" s="528">
        <v>17177.72</v>
      </c>
      <c r="H48" s="530">
        <v>20761.43</v>
      </c>
      <c r="I48" s="533">
        <v>34754.83</v>
      </c>
      <c r="J48" s="536">
        <v>26661.599999999999</v>
      </c>
      <c r="K48" s="537">
        <v>13513.14</v>
      </c>
      <c r="L48" s="501">
        <v>10177.34</v>
      </c>
      <c r="M48" s="543">
        <v>12071.2</v>
      </c>
      <c r="N48" s="530">
        <v>21668.47</v>
      </c>
      <c r="O48" s="546">
        <v>24773.599999999999</v>
      </c>
      <c r="P48" s="549">
        <v>20103.23</v>
      </c>
      <c r="Q48" s="482">
        <v>24307.71</v>
      </c>
      <c r="R48" s="412">
        <f t="shared" si="4"/>
        <v>113101.54999999999</v>
      </c>
      <c r="S48" s="456">
        <f t="shared" si="5"/>
        <v>18850.258333333331</v>
      </c>
      <c r="U48" s="9">
        <f t="shared" si="16"/>
        <v>0</v>
      </c>
      <c r="V48" s="9">
        <f t="shared" si="16"/>
        <v>0</v>
      </c>
      <c r="W48" s="9">
        <f t="shared" si="16"/>
        <v>0</v>
      </c>
      <c r="X48" s="9">
        <f t="shared" si="16"/>
        <v>0</v>
      </c>
      <c r="Y48" s="9">
        <f t="shared" si="16"/>
        <v>0</v>
      </c>
      <c r="Z48" s="9">
        <f t="shared" si="16"/>
        <v>123</v>
      </c>
      <c r="AA48" s="9">
        <f t="shared" si="16"/>
        <v>0</v>
      </c>
      <c r="AB48" s="9">
        <f t="shared" si="16"/>
        <v>0</v>
      </c>
      <c r="AC48" s="9">
        <f t="shared" si="16"/>
        <v>0</v>
      </c>
      <c r="AD48" s="9">
        <f t="shared" si="16"/>
        <v>0</v>
      </c>
      <c r="AE48" s="9">
        <f t="shared" si="16"/>
        <v>0</v>
      </c>
      <c r="AF48" s="9">
        <f t="shared" si="16"/>
        <v>0</v>
      </c>
      <c r="AG48" s="9">
        <f t="shared" si="16"/>
        <v>0</v>
      </c>
      <c r="AH48" s="9">
        <f t="shared" si="16"/>
        <v>0</v>
      </c>
      <c r="AI48" s="9">
        <f t="shared" si="16"/>
        <v>0</v>
      </c>
      <c r="AJ48" s="365">
        <f t="shared" si="3"/>
        <v>123</v>
      </c>
      <c r="AK48" s="460">
        <f t="shared" si="7"/>
        <v>0</v>
      </c>
    </row>
    <row r="49" spans="1:37" ht="14">
      <c r="A49" s="402" t="s">
        <v>658</v>
      </c>
      <c r="B49" s="403">
        <v>15074330</v>
      </c>
      <c r="C49" s="403">
        <v>102</v>
      </c>
      <c r="D49" s="402" t="s">
        <v>715</v>
      </c>
      <c r="E49" s="402" t="s">
        <v>601</v>
      </c>
      <c r="F49" s="483">
        <v>25085.54</v>
      </c>
      <c r="G49" s="528">
        <v>24646.09</v>
      </c>
      <c r="H49" s="530">
        <v>26004.9</v>
      </c>
      <c r="I49" s="533">
        <v>34524.370000000003</v>
      </c>
      <c r="J49" s="536">
        <v>27278.63</v>
      </c>
      <c r="K49" s="537">
        <v>17694.37</v>
      </c>
      <c r="L49" s="501">
        <v>16146.35</v>
      </c>
      <c r="M49" s="546">
        <v>14673.78</v>
      </c>
      <c r="N49" s="530">
        <v>26450.45</v>
      </c>
      <c r="O49" s="546">
        <v>26783.96</v>
      </c>
      <c r="P49" s="549">
        <v>20701.96</v>
      </c>
      <c r="Q49" s="482">
        <v>20866.41</v>
      </c>
      <c r="R49" s="412">
        <f t="shared" si="4"/>
        <v>125622.91</v>
      </c>
      <c r="S49" s="456">
        <f t="shared" si="5"/>
        <v>20937.151666666668</v>
      </c>
      <c r="U49" s="9">
        <f t="shared" si="16"/>
        <v>0</v>
      </c>
      <c r="V49" s="9">
        <f t="shared" si="16"/>
        <v>0</v>
      </c>
      <c r="W49" s="9">
        <f t="shared" si="16"/>
        <v>0</v>
      </c>
      <c r="X49" s="9">
        <f t="shared" si="16"/>
        <v>0</v>
      </c>
      <c r="Y49" s="9">
        <f t="shared" si="16"/>
        <v>0</v>
      </c>
      <c r="Z49" s="9">
        <f t="shared" si="16"/>
        <v>0</v>
      </c>
      <c r="AA49" s="9">
        <f t="shared" si="16"/>
        <v>0</v>
      </c>
      <c r="AB49" s="9">
        <f t="shared" si="16"/>
        <v>0</v>
      </c>
      <c r="AC49" s="9">
        <f t="shared" si="16"/>
        <v>102</v>
      </c>
      <c r="AD49" s="9">
        <f t="shared" si="16"/>
        <v>0</v>
      </c>
      <c r="AE49" s="9">
        <f t="shared" si="16"/>
        <v>0</v>
      </c>
      <c r="AF49" s="9">
        <f t="shared" si="16"/>
        <v>0</v>
      </c>
      <c r="AG49" s="9">
        <f t="shared" si="16"/>
        <v>0</v>
      </c>
      <c r="AH49" s="9">
        <f t="shared" si="16"/>
        <v>0</v>
      </c>
      <c r="AI49" s="9">
        <f t="shared" si="16"/>
        <v>0</v>
      </c>
      <c r="AJ49" s="365">
        <f t="shared" si="3"/>
        <v>102</v>
      </c>
      <c r="AK49" s="460">
        <f t="shared" si="7"/>
        <v>0</v>
      </c>
    </row>
    <row r="50" spans="1:37" ht="14">
      <c r="A50" s="402" t="s">
        <v>530</v>
      </c>
      <c r="B50" s="403">
        <v>15071136</v>
      </c>
      <c r="C50" s="403">
        <v>106</v>
      </c>
      <c r="D50" s="402"/>
      <c r="E50" s="402" t="s">
        <v>968</v>
      </c>
      <c r="F50" s="483">
        <v>32130.080000000002</v>
      </c>
      <c r="G50" s="530">
        <v>29837.94</v>
      </c>
      <c r="H50" s="530">
        <v>32125.88</v>
      </c>
      <c r="I50" s="533">
        <v>35299.56</v>
      </c>
      <c r="J50" s="536">
        <v>30193.05</v>
      </c>
      <c r="K50" s="537">
        <v>19536.22</v>
      </c>
      <c r="L50" s="543">
        <v>16859.13</v>
      </c>
      <c r="M50" s="543">
        <v>16175.74</v>
      </c>
      <c r="N50" s="530">
        <v>27639.46</v>
      </c>
      <c r="O50" s="546">
        <v>19660.23</v>
      </c>
      <c r="P50" s="549">
        <v>29445.52</v>
      </c>
      <c r="Q50" s="482">
        <v>30585.58</v>
      </c>
      <c r="R50" s="412">
        <f t="shared" si="4"/>
        <v>140365.66</v>
      </c>
      <c r="S50" s="456">
        <f t="shared" si="5"/>
        <v>23394.276666666668</v>
      </c>
      <c r="U50" s="9">
        <f t="shared" si="16"/>
        <v>0</v>
      </c>
      <c r="V50" s="9">
        <f t="shared" si="16"/>
        <v>0</v>
      </c>
      <c r="W50" s="9">
        <f t="shared" si="16"/>
        <v>0</v>
      </c>
      <c r="X50" s="9">
        <f t="shared" si="16"/>
        <v>0</v>
      </c>
      <c r="Y50" s="9">
        <f t="shared" si="16"/>
        <v>0</v>
      </c>
      <c r="Z50" s="9">
        <f t="shared" si="16"/>
        <v>106</v>
      </c>
      <c r="AA50" s="9">
        <f t="shared" si="16"/>
        <v>0</v>
      </c>
      <c r="AB50" s="9">
        <f t="shared" si="16"/>
        <v>0</v>
      </c>
      <c r="AC50" s="9">
        <f t="shared" si="16"/>
        <v>0</v>
      </c>
      <c r="AD50" s="9">
        <f t="shared" si="16"/>
        <v>0</v>
      </c>
      <c r="AE50" s="9">
        <f t="shared" si="16"/>
        <v>0</v>
      </c>
      <c r="AF50" s="9">
        <f t="shared" si="16"/>
        <v>0</v>
      </c>
      <c r="AG50" s="9">
        <f t="shared" si="16"/>
        <v>0</v>
      </c>
      <c r="AH50" s="9">
        <f t="shared" si="16"/>
        <v>0</v>
      </c>
      <c r="AI50" s="9">
        <f t="shared" si="16"/>
        <v>0</v>
      </c>
      <c r="AJ50" s="365">
        <f t="shared" si="3"/>
        <v>106</v>
      </c>
      <c r="AK50" s="460">
        <f t="shared" si="7"/>
        <v>0</v>
      </c>
    </row>
    <row r="51" spans="1:37" ht="14">
      <c r="A51" s="402" t="s">
        <v>1000</v>
      </c>
      <c r="B51" s="403">
        <v>15055279</v>
      </c>
      <c r="C51" s="403"/>
      <c r="D51" s="402"/>
      <c r="E51" s="402" t="s">
        <v>708</v>
      </c>
      <c r="F51" s="490"/>
      <c r="G51" s="490"/>
      <c r="H51" s="490"/>
      <c r="I51" s="490"/>
      <c r="J51" s="490"/>
      <c r="K51" s="537">
        <v>484.5</v>
      </c>
      <c r="L51" s="482"/>
      <c r="M51" s="482"/>
      <c r="N51" s="482"/>
      <c r="O51" s="482"/>
      <c r="P51" s="482"/>
      <c r="Q51" s="482"/>
      <c r="R51" s="412">
        <f t="shared" si="4"/>
        <v>0</v>
      </c>
      <c r="S51" s="456">
        <f t="shared" si="5"/>
        <v>0</v>
      </c>
      <c r="U51" s="9">
        <f t="shared" si="16"/>
        <v>0</v>
      </c>
      <c r="V51" s="9">
        <f t="shared" si="16"/>
        <v>0</v>
      </c>
      <c r="W51" s="9">
        <f t="shared" si="16"/>
        <v>0</v>
      </c>
      <c r="X51" s="9">
        <f t="shared" si="16"/>
        <v>0</v>
      </c>
      <c r="Y51" s="9">
        <f t="shared" si="16"/>
        <v>0</v>
      </c>
      <c r="Z51" s="9">
        <f t="shared" si="16"/>
        <v>0</v>
      </c>
      <c r="AA51" s="9">
        <f t="shared" si="16"/>
        <v>0</v>
      </c>
      <c r="AB51" s="9">
        <f t="shared" si="16"/>
        <v>0</v>
      </c>
      <c r="AC51" s="9">
        <f t="shared" si="16"/>
        <v>0</v>
      </c>
      <c r="AD51" s="9">
        <f t="shared" si="16"/>
        <v>0</v>
      </c>
      <c r="AE51" s="9">
        <f t="shared" si="16"/>
        <v>0</v>
      </c>
      <c r="AF51" s="9">
        <f t="shared" si="16"/>
        <v>0</v>
      </c>
      <c r="AG51" s="9">
        <f t="shared" si="16"/>
        <v>0</v>
      </c>
      <c r="AH51" s="9">
        <f t="shared" si="16"/>
        <v>0</v>
      </c>
      <c r="AI51" s="9">
        <f t="shared" si="16"/>
        <v>0</v>
      </c>
      <c r="AJ51" s="365">
        <f t="shared" si="3"/>
        <v>0</v>
      </c>
      <c r="AK51" s="460"/>
    </row>
    <row r="52" spans="1:37" ht="14">
      <c r="A52" s="402" t="s">
        <v>1000</v>
      </c>
      <c r="B52" s="403">
        <v>15074617</v>
      </c>
      <c r="C52" s="403"/>
      <c r="D52" s="402"/>
      <c r="E52" s="402" t="s">
        <v>977</v>
      </c>
      <c r="F52" s="483">
        <v>27174.13</v>
      </c>
      <c r="G52" s="528">
        <v>19390.27</v>
      </c>
      <c r="H52" s="530">
        <v>22820.97</v>
      </c>
      <c r="I52" s="533">
        <v>39038.86</v>
      </c>
      <c r="J52" s="536">
        <v>34916.42</v>
      </c>
      <c r="K52" s="537">
        <v>28669.15</v>
      </c>
      <c r="L52" s="501">
        <v>4989.6099999999997</v>
      </c>
      <c r="M52" s="543">
        <v>6718.89</v>
      </c>
      <c r="N52" s="530">
        <v>21177.77</v>
      </c>
      <c r="O52" s="546">
        <v>52201.3</v>
      </c>
      <c r="P52" s="549">
        <v>41049.86</v>
      </c>
      <c r="Q52" s="482">
        <v>32048.05</v>
      </c>
      <c r="R52" s="412">
        <f t="shared" si="4"/>
        <v>158185.48000000001</v>
      </c>
      <c r="S52" s="456">
        <f t="shared" si="5"/>
        <v>26364.24666666667</v>
      </c>
      <c r="U52" s="9">
        <f t="shared" si="16"/>
        <v>0</v>
      </c>
      <c r="V52" s="9">
        <f t="shared" si="16"/>
        <v>0</v>
      </c>
      <c r="W52" s="9">
        <f t="shared" si="16"/>
        <v>0</v>
      </c>
      <c r="X52" s="9">
        <f t="shared" si="16"/>
        <v>0</v>
      </c>
      <c r="Y52" s="9">
        <f t="shared" si="16"/>
        <v>0</v>
      </c>
      <c r="Z52" s="9">
        <f t="shared" si="16"/>
        <v>0</v>
      </c>
      <c r="AA52" s="9">
        <f t="shared" si="16"/>
        <v>0</v>
      </c>
      <c r="AB52" s="9">
        <f t="shared" si="16"/>
        <v>0</v>
      </c>
      <c r="AC52" s="9">
        <f t="shared" si="16"/>
        <v>0</v>
      </c>
      <c r="AD52" s="9">
        <f t="shared" si="16"/>
        <v>0</v>
      </c>
      <c r="AE52" s="9">
        <f t="shared" si="16"/>
        <v>0</v>
      </c>
      <c r="AF52" s="9">
        <f t="shared" si="16"/>
        <v>0</v>
      </c>
      <c r="AG52" s="9">
        <f t="shared" si="16"/>
        <v>0</v>
      </c>
      <c r="AH52" s="9">
        <f t="shared" si="16"/>
        <v>0</v>
      </c>
      <c r="AI52" s="9">
        <f t="shared" si="16"/>
        <v>0</v>
      </c>
      <c r="AJ52" s="365">
        <f t="shared" si="3"/>
        <v>0</v>
      </c>
      <c r="AK52" s="460">
        <f t="shared" si="7"/>
        <v>0</v>
      </c>
    </row>
    <row r="53" spans="1:37" ht="14">
      <c r="A53" s="402" t="s">
        <v>658</v>
      </c>
      <c r="B53" s="403">
        <v>15078234</v>
      </c>
      <c r="C53" s="403">
        <v>91</v>
      </c>
      <c r="D53" s="402" t="s">
        <v>516</v>
      </c>
      <c r="E53" s="402" t="s">
        <v>516</v>
      </c>
      <c r="F53" s="483">
        <v>27149.45</v>
      </c>
      <c r="G53" s="528">
        <v>25078.29</v>
      </c>
      <c r="H53" s="530">
        <v>28690.32</v>
      </c>
      <c r="I53" s="533">
        <v>33549.730000000003</v>
      </c>
      <c r="J53" s="536">
        <f>17808.44+10005.64</f>
        <v>27814.079999999998</v>
      </c>
      <c r="K53" s="537">
        <v>16576.54</v>
      </c>
      <c r="L53" s="501">
        <v>15275.56</v>
      </c>
      <c r="M53" s="543">
        <v>18717.259999999998</v>
      </c>
      <c r="N53" s="530">
        <v>26455.51</v>
      </c>
      <c r="O53" s="546">
        <v>25179.97</v>
      </c>
      <c r="P53" s="549">
        <v>24269.39</v>
      </c>
      <c r="Q53" s="482">
        <v>23946.05</v>
      </c>
      <c r="R53" s="412">
        <f t="shared" si="4"/>
        <v>133843.74</v>
      </c>
      <c r="S53" s="456">
        <f t="shared" si="5"/>
        <v>22307.289999999997</v>
      </c>
      <c r="U53" s="9">
        <f t="shared" ref="U53:AI69" si="17">+IF($A53=U$3,$C53,0)</f>
        <v>0</v>
      </c>
      <c r="V53" s="9">
        <f t="shared" si="17"/>
        <v>0</v>
      </c>
      <c r="W53" s="9">
        <f t="shared" si="17"/>
        <v>0</v>
      </c>
      <c r="X53" s="9">
        <f t="shared" si="17"/>
        <v>0</v>
      </c>
      <c r="Y53" s="9">
        <f t="shared" si="17"/>
        <v>0</v>
      </c>
      <c r="Z53" s="9">
        <f t="shared" si="17"/>
        <v>0</v>
      </c>
      <c r="AA53" s="9">
        <f t="shared" si="17"/>
        <v>0</v>
      </c>
      <c r="AB53" s="9">
        <f t="shared" si="17"/>
        <v>0</v>
      </c>
      <c r="AC53" s="9">
        <f t="shared" si="17"/>
        <v>91</v>
      </c>
      <c r="AD53" s="9">
        <f t="shared" si="17"/>
        <v>0</v>
      </c>
      <c r="AE53" s="9">
        <f t="shared" si="17"/>
        <v>0</v>
      </c>
      <c r="AF53" s="9">
        <f t="shared" si="17"/>
        <v>0</v>
      </c>
      <c r="AG53" s="9">
        <f t="shared" si="17"/>
        <v>0</v>
      </c>
      <c r="AH53" s="9">
        <f t="shared" si="17"/>
        <v>0</v>
      </c>
      <c r="AI53" s="9">
        <f t="shared" si="17"/>
        <v>0</v>
      </c>
      <c r="AJ53" s="365">
        <f t="shared" si="3"/>
        <v>91</v>
      </c>
      <c r="AK53" s="460">
        <f t="shared" si="7"/>
        <v>0</v>
      </c>
    </row>
    <row r="54" spans="1:37" ht="14">
      <c r="A54" s="402" t="s">
        <v>530</v>
      </c>
      <c r="B54" s="403">
        <v>15037322</v>
      </c>
      <c r="C54" s="403">
        <v>91</v>
      </c>
      <c r="D54" s="402" t="s">
        <v>646</v>
      </c>
      <c r="E54" s="402" t="s">
        <v>623</v>
      </c>
      <c r="F54" s="483">
        <v>22213.31</v>
      </c>
      <c r="G54" s="528">
        <v>19073.009999999998</v>
      </c>
      <c r="H54" s="530">
        <v>21541.49</v>
      </c>
      <c r="I54" s="533">
        <v>27236.19</v>
      </c>
      <c r="J54" s="536">
        <v>21522.53</v>
      </c>
      <c r="K54" s="537">
        <v>10863.23</v>
      </c>
      <c r="L54" s="501">
        <v>10036.57</v>
      </c>
      <c r="M54" s="543">
        <v>11522.9</v>
      </c>
      <c r="N54" s="530">
        <v>16833.8</v>
      </c>
      <c r="O54" s="546">
        <v>20030.580000000002</v>
      </c>
      <c r="P54" s="549">
        <v>17885.849999999999</v>
      </c>
      <c r="Q54" s="482">
        <v>22492.39</v>
      </c>
      <c r="R54" s="412">
        <f t="shared" si="4"/>
        <v>98802.090000000011</v>
      </c>
      <c r="S54" s="456">
        <f t="shared" si="5"/>
        <v>16467.015000000003</v>
      </c>
      <c r="U54" s="9">
        <f t="shared" si="17"/>
        <v>0</v>
      </c>
      <c r="V54" s="9">
        <f t="shared" si="17"/>
        <v>0</v>
      </c>
      <c r="W54" s="9">
        <f t="shared" si="17"/>
        <v>0</v>
      </c>
      <c r="X54" s="9">
        <f t="shared" si="17"/>
        <v>0</v>
      </c>
      <c r="Y54" s="9">
        <f t="shared" si="17"/>
        <v>0</v>
      </c>
      <c r="Z54" s="9">
        <f t="shared" si="17"/>
        <v>91</v>
      </c>
      <c r="AA54" s="9">
        <f t="shared" si="17"/>
        <v>0</v>
      </c>
      <c r="AB54" s="9">
        <f t="shared" si="17"/>
        <v>0</v>
      </c>
      <c r="AC54" s="9">
        <f t="shared" si="17"/>
        <v>0</v>
      </c>
      <c r="AD54" s="9">
        <f t="shared" si="17"/>
        <v>0</v>
      </c>
      <c r="AE54" s="9">
        <f t="shared" si="17"/>
        <v>0</v>
      </c>
      <c r="AF54" s="9">
        <f t="shared" si="17"/>
        <v>0</v>
      </c>
      <c r="AG54" s="9">
        <f t="shared" si="17"/>
        <v>0</v>
      </c>
      <c r="AH54" s="9">
        <f t="shared" si="17"/>
        <v>0</v>
      </c>
      <c r="AI54" s="9">
        <f t="shared" si="17"/>
        <v>0</v>
      </c>
      <c r="AJ54" s="365">
        <f t="shared" si="3"/>
        <v>91</v>
      </c>
      <c r="AK54" s="460">
        <f t="shared" si="7"/>
        <v>0</v>
      </c>
    </row>
    <row r="55" spans="1:37" ht="14">
      <c r="A55" s="402" t="s">
        <v>530</v>
      </c>
      <c r="B55" s="403">
        <v>15062439</v>
      </c>
      <c r="C55" s="403">
        <v>127</v>
      </c>
      <c r="D55" s="402" t="s">
        <v>604</v>
      </c>
      <c r="E55" s="402" t="s">
        <v>325</v>
      </c>
      <c r="F55" s="483">
        <v>28540.240000000002</v>
      </c>
      <c r="G55" s="528">
        <v>25873.1</v>
      </c>
      <c r="H55" s="530">
        <v>29131.11</v>
      </c>
      <c r="I55" s="533">
        <v>37470.61</v>
      </c>
      <c r="J55" s="536">
        <v>28622.42</v>
      </c>
      <c r="K55" s="537">
        <v>15415.27</v>
      </c>
      <c r="L55" s="501">
        <v>9198.2800000000007</v>
      </c>
      <c r="M55" s="543">
        <v>13362.2</v>
      </c>
      <c r="N55" s="530">
        <v>24324.35</v>
      </c>
      <c r="O55" s="546">
        <v>30987.439999999999</v>
      </c>
      <c r="P55" s="549">
        <v>26464.36</v>
      </c>
      <c r="Q55" s="482">
        <v>26917.91</v>
      </c>
      <c r="R55" s="412">
        <f t="shared" si="4"/>
        <v>131254.54</v>
      </c>
      <c r="S55" s="456">
        <f t="shared" si="5"/>
        <v>21875.756666666668</v>
      </c>
      <c r="U55" s="9">
        <f t="shared" si="17"/>
        <v>0</v>
      </c>
      <c r="V55" s="9">
        <f t="shared" si="17"/>
        <v>0</v>
      </c>
      <c r="W55" s="9">
        <f t="shared" si="17"/>
        <v>0</v>
      </c>
      <c r="X55" s="9">
        <f t="shared" si="17"/>
        <v>0</v>
      </c>
      <c r="Y55" s="9">
        <f t="shared" si="17"/>
        <v>0</v>
      </c>
      <c r="Z55" s="9">
        <f t="shared" si="17"/>
        <v>127</v>
      </c>
      <c r="AA55" s="9">
        <f t="shared" si="17"/>
        <v>0</v>
      </c>
      <c r="AB55" s="9">
        <f t="shared" si="17"/>
        <v>0</v>
      </c>
      <c r="AC55" s="9">
        <f t="shared" si="17"/>
        <v>0</v>
      </c>
      <c r="AD55" s="9">
        <f t="shared" si="17"/>
        <v>0</v>
      </c>
      <c r="AE55" s="9">
        <f t="shared" si="17"/>
        <v>0</v>
      </c>
      <c r="AF55" s="9">
        <f t="shared" si="17"/>
        <v>0</v>
      </c>
      <c r="AG55" s="9">
        <f t="shared" si="17"/>
        <v>0</v>
      </c>
      <c r="AH55" s="9">
        <f t="shared" si="17"/>
        <v>0</v>
      </c>
      <c r="AI55" s="9">
        <f t="shared" si="17"/>
        <v>0</v>
      </c>
      <c r="AJ55" s="365">
        <f t="shared" si="3"/>
        <v>127</v>
      </c>
      <c r="AK55" s="460">
        <f t="shared" si="7"/>
        <v>0</v>
      </c>
    </row>
    <row r="56" spans="1:37" ht="14">
      <c r="A56" s="402" t="s">
        <v>531</v>
      </c>
      <c r="B56" s="403">
        <v>15035829</v>
      </c>
      <c r="C56" s="403">
        <v>366</v>
      </c>
      <c r="D56" s="402" t="s">
        <v>567</v>
      </c>
      <c r="E56" s="402" t="s">
        <v>253</v>
      </c>
      <c r="F56" s="483">
        <v>72742.78</v>
      </c>
      <c r="G56" s="528">
        <v>79213.11</v>
      </c>
      <c r="H56" s="530">
        <v>97533.94</v>
      </c>
      <c r="I56" s="533">
        <v>140242.35999999999</v>
      </c>
      <c r="J56" s="536">
        <v>101309.86</v>
      </c>
      <c r="K56" s="537">
        <v>53916.63</v>
      </c>
      <c r="L56" s="501">
        <v>73128.87</v>
      </c>
      <c r="M56" s="543">
        <v>63458.68</v>
      </c>
      <c r="N56" s="530">
        <v>95027.02</v>
      </c>
      <c r="O56" s="546">
        <v>100445.85</v>
      </c>
      <c r="P56" s="549">
        <v>69066.27</v>
      </c>
      <c r="Q56" s="482">
        <v>89726.44</v>
      </c>
      <c r="R56" s="412">
        <f t="shared" si="4"/>
        <v>490853.13000000006</v>
      </c>
      <c r="S56" s="456">
        <f t="shared" si="5"/>
        <v>81808.85500000001</v>
      </c>
      <c r="U56" s="9">
        <f t="shared" si="17"/>
        <v>0</v>
      </c>
      <c r="V56" s="9">
        <f t="shared" si="17"/>
        <v>0</v>
      </c>
      <c r="W56" s="9">
        <f t="shared" si="17"/>
        <v>0</v>
      </c>
      <c r="X56" s="9">
        <f t="shared" si="17"/>
        <v>366</v>
      </c>
      <c r="Y56" s="9">
        <f t="shared" si="17"/>
        <v>0</v>
      </c>
      <c r="Z56" s="9">
        <f t="shared" si="17"/>
        <v>0</v>
      </c>
      <c r="AA56" s="9">
        <f t="shared" si="17"/>
        <v>0</v>
      </c>
      <c r="AB56" s="9">
        <f t="shared" si="17"/>
        <v>0</v>
      </c>
      <c r="AC56" s="9">
        <f t="shared" si="17"/>
        <v>0</v>
      </c>
      <c r="AD56" s="9">
        <f t="shared" si="17"/>
        <v>0</v>
      </c>
      <c r="AE56" s="9">
        <f t="shared" si="17"/>
        <v>0</v>
      </c>
      <c r="AF56" s="9">
        <f t="shared" si="17"/>
        <v>0</v>
      </c>
      <c r="AG56" s="9">
        <f t="shared" si="17"/>
        <v>0</v>
      </c>
      <c r="AH56" s="9">
        <f t="shared" si="17"/>
        <v>0</v>
      </c>
      <c r="AI56" s="9">
        <f t="shared" si="17"/>
        <v>0</v>
      </c>
      <c r="AJ56" s="365">
        <f t="shared" si="3"/>
        <v>366</v>
      </c>
      <c r="AK56" s="460">
        <f t="shared" si="7"/>
        <v>0</v>
      </c>
    </row>
    <row r="57" spans="1:37" ht="14">
      <c r="A57" s="402" t="s">
        <v>1000</v>
      </c>
      <c r="B57" s="403">
        <v>15033786</v>
      </c>
      <c r="C57" s="403"/>
      <c r="D57" s="402"/>
      <c r="E57" s="402" t="s">
        <v>914</v>
      </c>
      <c r="F57" s="483">
        <v>2127.23</v>
      </c>
      <c r="G57" s="528">
        <v>1621.38</v>
      </c>
      <c r="H57" s="530">
        <v>1946.5</v>
      </c>
      <c r="I57" s="533">
        <v>3348.29</v>
      </c>
      <c r="J57" s="536">
        <v>2707.3</v>
      </c>
      <c r="K57" s="537">
        <v>191.25</v>
      </c>
      <c r="L57" s="482"/>
      <c r="M57" s="482"/>
      <c r="N57" s="530">
        <v>1181.54</v>
      </c>
      <c r="O57" s="549">
        <v>2918.15</v>
      </c>
      <c r="P57" s="551">
        <v>2417.4</v>
      </c>
      <c r="Q57" s="482"/>
      <c r="R57" s="412">
        <f t="shared" si="4"/>
        <v>6517.09</v>
      </c>
      <c r="S57" s="456">
        <f t="shared" si="5"/>
        <v>1086.1816666666666</v>
      </c>
      <c r="U57" s="9">
        <f t="shared" si="17"/>
        <v>0</v>
      </c>
      <c r="V57" s="9">
        <f t="shared" si="17"/>
        <v>0</v>
      </c>
      <c r="W57" s="9">
        <f t="shared" si="17"/>
        <v>0</v>
      </c>
      <c r="X57" s="9">
        <f t="shared" si="17"/>
        <v>0</v>
      </c>
      <c r="Y57" s="9">
        <f t="shared" si="17"/>
        <v>0</v>
      </c>
      <c r="Z57" s="9">
        <f t="shared" si="17"/>
        <v>0</v>
      </c>
      <c r="AA57" s="9">
        <f t="shared" si="17"/>
        <v>0</v>
      </c>
      <c r="AB57" s="9">
        <f t="shared" si="17"/>
        <v>0</v>
      </c>
      <c r="AC57" s="9">
        <f t="shared" si="17"/>
        <v>0</v>
      </c>
      <c r="AD57" s="9">
        <f t="shared" si="17"/>
        <v>0</v>
      </c>
      <c r="AE57" s="9">
        <f t="shared" si="17"/>
        <v>0</v>
      </c>
      <c r="AF57" s="9">
        <f t="shared" si="17"/>
        <v>0</v>
      </c>
      <c r="AG57" s="9">
        <f t="shared" si="17"/>
        <v>0</v>
      </c>
      <c r="AH57" s="9">
        <f t="shared" si="17"/>
        <v>0</v>
      </c>
      <c r="AI57" s="9">
        <f t="shared" si="17"/>
        <v>0</v>
      </c>
      <c r="AJ57" s="365">
        <f t="shared" si="3"/>
        <v>0</v>
      </c>
      <c r="AK57" s="460">
        <f t="shared" si="7"/>
        <v>0</v>
      </c>
    </row>
    <row r="58" spans="1:37" ht="14">
      <c r="A58" s="402" t="s">
        <v>705</v>
      </c>
      <c r="B58" s="403">
        <v>276620</v>
      </c>
      <c r="C58" s="403"/>
      <c r="D58" s="402"/>
      <c r="E58" s="402" t="s">
        <v>1017</v>
      </c>
      <c r="F58" s="490"/>
      <c r="G58" s="490"/>
      <c r="H58" s="490"/>
      <c r="I58" s="490"/>
      <c r="J58" s="490"/>
      <c r="K58" s="490"/>
      <c r="L58" s="546">
        <v>6676.59</v>
      </c>
      <c r="M58" s="546">
        <v>12635.5</v>
      </c>
      <c r="N58" s="546">
        <v>12504.98</v>
      </c>
      <c r="O58" s="546">
        <v>17746.919999999998</v>
      </c>
      <c r="P58" s="549">
        <v>19356.7</v>
      </c>
      <c r="Q58" s="482">
        <v>14381.97</v>
      </c>
      <c r="R58" s="412">
        <f t="shared" si="4"/>
        <v>83302.66</v>
      </c>
      <c r="S58" s="456">
        <f t="shared" si="5"/>
        <v>13883.776666666667</v>
      </c>
      <c r="U58" s="9">
        <f t="shared" si="17"/>
        <v>0</v>
      </c>
      <c r="V58" s="9">
        <f t="shared" si="17"/>
        <v>0</v>
      </c>
      <c r="W58" s="9">
        <f t="shared" si="17"/>
        <v>0</v>
      </c>
      <c r="X58" s="9">
        <f t="shared" si="17"/>
        <v>0</v>
      </c>
      <c r="Y58" s="9">
        <f t="shared" si="17"/>
        <v>0</v>
      </c>
      <c r="Z58" s="9">
        <f t="shared" si="17"/>
        <v>0</v>
      </c>
      <c r="AA58" s="9">
        <f t="shared" si="17"/>
        <v>0</v>
      </c>
      <c r="AB58" s="9">
        <f t="shared" si="17"/>
        <v>0</v>
      </c>
      <c r="AC58" s="9">
        <f t="shared" si="17"/>
        <v>0</v>
      </c>
      <c r="AD58" s="9">
        <f t="shared" si="17"/>
        <v>0</v>
      </c>
      <c r="AE58" s="9">
        <f t="shared" si="17"/>
        <v>0</v>
      </c>
      <c r="AF58" s="9">
        <f t="shared" si="17"/>
        <v>0</v>
      </c>
      <c r="AG58" s="9">
        <f t="shared" si="17"/>
        <v>0</v>
      </c>
      <c r="AH58" s="9">
        <f t="shared" si="17"/>
        <v>0</v>
      </c>
      <c r="AI58" s="9">
        <f t="shared" si="17"/>
        <v>0</v>
      </c>
      <c r="AJ58" s="365">
        <f t="shared" si="3"/>
        <v>0</v>
      </c>
      <c r="AK58" s="460">
        <f t="shared" si="7"/>
        <v>0</v>
      </c>
    </row>
    <row r="59" spans="1:37" ht="14">
      <c r="A59" s="402" t="s">
        <v>533</v>
      </c>
      <c r="B59" s="403">
        <v>7008200</v>
      </c>
      <c r="C59" s="403">
        <v>72</v>
      </c>
      <c r="D59" s="402" t="s">
        <v>347</v>
      </c>
      <c r="E59" s="402" t="s">
        <v>347</v>
      </c>
      <c r="F59" s="483">
        <v>15978.91</v>
      </c>
      <c r="G59" s="528">
        <v>11700.48</v>
      </c>
      <c r="H59" s="530">
        <v>11822.09</v>
      </c>
      <c r="I59" s="536">
        <v>15875.11</v>
      </c>
      <c r="J59" s="536">
        <v>12007.93</v>
      </c>
      <c r="K59" s="537">
        <v>10931.87</v>
      </c>
      <c r="L59" s="501">
        <v>7703.8</v>
      </c>
      <c r="M59" s="543">
        <v>10290.56</v>
      </c>
      <c r="N59" s="530">
        <v>15878.41</v>
      </c>
      <c r="O59" s="546">
        <v>18952.8</v>
      </c>
      <c r="P59" s="549">
        <v>17226.27</v>
      </c>
      <c r="Q59" s="482">
        <v>17884.87</v>
      </c>
      <c r="R59" s="412">
        <f t="shared" si="4"/>
        <v>87936.71</v>
      </c>
      <c r="S59" s="456">
        <f t="shared" si="5"/>
        <v>14656.118333333334</v>
      </c>
      <c r="U59" s="9">
        <f t="shared" si="17"/>
        <v>0</v>
      </c>
      <c r="V59" s="9">
        <f t="shared" si="17"/>
        <v>0</v>
      </c>
      <c r="W59" s="9">
        <f t="shared" si="17"/>
        <v>0</v>
      </c>
      <c r="X59" s="9">
        <f t="shared" si="17"/>
        <v>0</v>
      </c>
      <c r="Y59" s="9">
        <f t="shared" si="17"/>
        <v>0</v>
      </c>
      <c r="Z59" s="9">
        <f t="shared" si="17"/>
        <v>0</v>
      </c>
      <c r="AA59" s="9">
        <f t="shared" si="17"/>
        <v>0</v>
      </c>
      <c r="AB59" s="9">
        <f t="shared" si="17"/>
        <v>0</v>
      </c>
      <c r="AC59" s="9">
        <f t="shared" si="17"/>
        <v>0</v>
      </c>
      <c r="AD59" s="9">
        <f t="shared" si="17"/>
        <v>72</v>
      </c>
      <c r="AE59" s="9">
        <f t="shared" si="17"/>
        <v>0</v>
      </c>
      <c r="AF59" s="9">
        <f t="shared" si="17"/>
        <v>0</v>
      </c>
      <c r="AG59" s="9">
        <f t="shared" si="17"/>
        <v>0</v>
      </c>
      <c r="AH59" s="9">
        <f t="shared" si="17"/>
        <v>0</v>
      </c>
      <c r="AI59" s="9">
        <f t="shared" si="17"/>
        <v>0</v>
      </c>
      <c r="AJ59" s="365">
        <f t="shared" si="3"/>
        <v>72</v>
      </c>
      <c r="AK59" s="460">
        <f t="shared" si="7"/>
        <v>0</v>
      </c>
    </row>
    <row r="60" spans="1:37" ht="14">
      <c r="A60" s="402" t="s">
        <v>535</v>
      </c>
      <c r="B60" s="403">
        <v>15069022</v>
      </c>
      <c r="C60" s="403">
        <v>129</v>
      </c>
      <c r="D60" s="402"/>
      <c r="E60" s="402" t="s">
        <v>942</v>
      </c>
      <c r="F60" s="483">
        <v>17587.919999999998</v>
      </c>
      <c r="G60" s="528">
        <v>17700.990000000002</v>
      </c>
      <c r="H60" s="530">
        <v>19020.61</v>
      </c>
      <c r="I60" s="533">
        <v>29090.62</v>
      </c>
      <c r="J60" s="536">
        <v>20505.54</v>
      </c>
      <c r="K60" s="537">
        <v>7974.84</v>
      </c>
      <c r="L60" s="501">
        <v>6761.96</v>
      </c>
      <c r="M60" s="543">
        <v>6882.21</v>
      </c>
      <c r="N60" s="530">
        <v>15593.56</v>
      </c>
      <c r="O60" s="546">
        <v>18091.09</v>
      </c>
      <c r="P60" s="549">
        <v>17983.64</v>
      </c>
      <c r="Q60" s="482"/>
      <c r="R60" s="412">
        <f t="shared" si="4"/>
        <v>65312.46</v>
      </c>
      <c r="S60" s="456">
        <f t="shared" si="5"/>
        <v>10885.41</v>
      </c>
      <c r="U60" s="9">
        <f t="shared" si="17"/>
        <v>0</v>
      </c>
      <c r="V60" s="9">
        <f t="shared" si="17"/>
        <v>0</v>
      </c>
      <c r="W60" s="9">
        <f t="shared" si="17"/>
        <v>0</v>
      </c>
      <c r="X60" s="9">
        <f t="shared" si="17"/>
        <v>0</v>
      </c>
      <c r="Y60" s="9">
        <f t="shared" si="17"/>
        <v>0</v>
      </c>
      <c r="Z60" s="9">
        <f t="shared" si="17"/>
        <v>0</v>
      </c>
      <c r="AA60" s="9">
        <f t="shared" si="17"/>
        <v>0</v>
      </c>
      <c r="AB60" s="9">
        <f t="shared" si="17"/>
        <v>129</v>
      </c>
      <c r="AC60" s="9">
        <f t="shared" si="17"/>
        <v>0</v>
      </c>
      <c r="AD60" s="9">
        <f t="shared" si="17"/>
        <v>0</v>
      </c>
      <c r="AE60" s="9">
        <f t="shared" si="17"/>
        <v>0</v>
      </c>
      <c r="AF60" s="9">
        <f t="shared" si="17"/>
        <v>0</v>
      </c>
      <c r="AG60" s="9">
        <f t="shared" si="17"/>
        <v>0</v>
      </c>
      <c r="AH60" s="9">
        <f t="shared" si="17"/>
        <v>0</v>
      </c>
      <c r="AI60" s="9">
        <f t="shared" si="17"/>
        <v>0</v>
      </c>
      <c r="AJ60" s="365">
        <f t="shared" si="3"/>
        <v>129</v>
      </c>
      <c r="AK60" s="460">
        <f t="shared" si="7"/>
        <v>0</v>
      </c>
    </row>
    <row r="61" spans="1:37" ht="14">
      <c r="A61" s="402" t="s">
        <v>531</v>
      </c>
      <c r="B61" s="404">
        <v>15062715</v>
      </c>
      <c r="C61" s="404">
        <v>218</v>
      </c>
      <c r="D61" s="405"/>
      <c r="E61" s="405" t="s">
        <v>917</v>
      </c>
      <c r="F61" s="483">
        <v>89092.3</v>
      </c>
      <c r="G61" s="528">
        <v>85326.92</v>
      </c>
      <c r="H61" s="530">
        <v>90296.53</v>
      </c>
      <c r="I61" s="533">
        <v>118666.58</v>
      </c>
      <c r="J61" s="536">
        <v>96914.39</v>
      </c>
      <c r="K61" s="537">
        <v>53248.160000000003</v>
      </c>
      <c r="L61" s="501">
        <v>64982.31</v>
      </c>
      <c r="M61" s="543">
        <v>67606.67</v>
      </c>
      <c r="N61" s="530">
        <v>86585.95</v>
      </c>
      <c r="O61" s="546">
        <v>107384.05</v>
      </c>
      <c r="P61" s="549">
        <v>82404.649999999994</v>
      </c>
      <c r="Q61" s="482">
        <v>89782.31</v>
      </c>
      <c r="R61" s="412">
        <f t="shared" si="4"/>
        <v>498745.94</v>
      </c>
      <c r="S61" s="456">
        <f t="shared" si="5"/>
        <v>83124.323333333334</v>
      </c>
      <c r="U61" s="9">
        <f t="shared" si="17"/>
        <v>0</v>
      </c>
      <c r="V61" s="9">
        <f t="shared" si="17"/>
        <v>0</v>
      </c>
      <c r="W61" s="9">
        <f t="shared" si="17"/>
        <v>0</v>
      </c>
      <c r="X61" s="9">
        <f t="shared" si="17"/>
        <v>218</v>
      </c>
      <c r="Y61" s="9">
        <f t="shared" si="17"/>
        <v>0</v>
      </c>
      <c r="Z61" s="9">
        <f t="shared" si="17"/>
        <v>0</v>
      </c>
      <c r="AA61" s="9">
        <f t="shared" si="17"/>
        <v>0</v>
      </c>
      <c r="AB61" s="9">
        <f t="shared" si="17"/>
        <v>0</v>
      </c>
      <c r="AC61" s="9">
        <f t="shared" si="17"/>
        <v>0</v>
      </c>
      <c r="AD61" s="9">
        <f t="shared" si="17"/>
        <v>0</v>
      </c>
      <c r="AE61" s="9">
        <f t="shared" si="17"/>
        <v>0</v>
      </c>
      <c r="AF61" s="9">
        <f t="shared" si="17"/>
        <v>0</v>
      </c>
      <c r="AG61" s="9">
        <f t="shared" si="17"/>
        <v>0</v>
      </c>
      <c r="AH61" s="9">
        <f t="shared" si="17"/>
        <v>0</v>
      </c>
      <c r="AI61" s="9">
        <f t="shared" si="17"/>
        <v>0</v>
      </c>
      <c r="AJ61" s="365">
        <f t="shared" si="3"/>
        <v>218</v>
      </c>
      <c r="AK61" s="460">
        <f t="shared" si="7"/>
        <v>0</v>
      </c>
    </row>
    <row r="62" spans="1:37" ht="14">
      <c r="A62" s="402" t="s">
        <v>531</v>
      </c>
      <c r="B62" s="404">
        <v>15065301</v>
      </c>
      <c r="C62" s="404">
        <v>119</v>
      </c>
      <c r="D62" s="405"/>
      <c r="E62" s="405" t="s">
        <v>918</v>
      </c>
      <c r="F62" s="483">
        <v>39503.22</v>
      </c>
      <c r="G62" s="528">
        <v>38057.42</v>
      </c>
      <c r="H62" s="530">
        <v>39439.620000000003</v>
      </c>
      <c r="I62" s="533">
        <v>49305.18</v>
      </c>
      <c r="J62" s="536">
        <v>43437.52</v>
      </c>
      <c r="K62" s="537">
        <v>25363.119999999999</v>
      </c>
      <c r="L62" s="501">
        <v>27978.06</v>
      </c>
      <c r="M62" s="543">
        <v>27198.11</v>
      </c>
      <c r="N62" s="530">
        <v>36719.81</v>
      </c>
      <c r="O62" s="546">
        <v>40041.96</v>
      </c>
      <c r="P62" s="549">
        <v>37412.230000000003</v>
      </c>
      <c r="Q62" s="482">
        <v>39482.33</v>
      </c>
      <c r="R62" s="412">
        <f t="shared" si="4"/>
        <v>208832.5</v>
      </c>
      <c r="S62" s="456">
        <f t="shared" si="5"/>
        <v>34805.416666666664</v>
      </c>
      <c r="U62" s="9">
        <f t="shared" si="17"/>
        <v>0</v>
      </c>
      <c r="V62" s="9">
        <f t="shared" si="17"/>
        <v>0</v>
      </c>
      <c r="W62" s="9">
        <f t="shared" si="17"/>
        <v>0</v>
      </c>
      <c r="X62" s="9">
        <f t="shared" si="17"/>
        <v>119</v>
      </c>
      <c r="Y62" s="9">
        <f t="shared" si="17"/>
        <v>0</v>
      </c>
      <c r="Z62" s="9">
        <f t="shared" si="17"/>
        <v>0</v>
      </c>
      <c r="AA62" s="9">
        <f t="shared" si="17"/>
        <v>0</v>
      </c>
      <c r="AB62" s="9">
        <f t="shared" si="17"/>
        <v>0</v>
      </c>
      <c r="AC62" s="9">
        <f t="shared" si="17"/>
        <v>0</v>
      </c>
      <c r="AD62" s="9">
        <f t="shared" si="17"/>
        <v>0</v>
      </c>
      <c r="AE62" s="9">
        <f t="shared" si="17"/>
        <v>0</v>
      </c>
      <c r="AF62" s="9">
        <f t="shared" si="17"/>
        <v>0</v>
      </c>
      <c r="AG62" s="9">
        <f t="shared" si="17"/>
        <v>0</v>
      </c>
      <c r="AH62" s="9">
        <f t="shared" si="17"/>
        <v>0</v>
      </c>
      <c r="AI62" s="9">
        <f t="shared" si="17"/>
        <v>0</v>
      </c>
      <c r="AJ62" s="365">
        <f t="shared" si="3"/>
        <v>119</v>
      </c>
      <c r="AK62" s="460">
        <f t="shared" si="7"/>
        <v>0</v>
      </c>
    </row>
    <row r="63" spans="1:37" ht="14">
      <c r="A63" s="402" t="s">
        <v>537</v>
      </c>
      <c r="B63" s="403">
        <v>15073684</v>
      </c>
      <c r="C63" s="403">
        <v>67</v>
      </c>
      <c r="D63" s="402" t="s">
        <v>261</v>
      </c>
      <c r="E63" s="402" t="s">
        <v>971</v>
      </c>
      <c r="F63" s="483">
        <v>8505.2999999999993</v>
      </c>
      <c r="G63" s="528">
        <v>8442.1</v>
      </c>
      <c r="H63" s="530">
        <v>15306.9</v>
      </c>
      <c r="I63" s="533">
        <v>21290.49</v>
      </c>
      <c r="J63" s="536">
        <v>16585.5</v>
      </c>
      <c r="K63" s="537">
        <v>6882.05</v>
      </c>
      <c r="L63" s="501">
        <v>8990</v>
      </c>
      <c r="M63" s="543">
        <v>11943.45</v>
      </c>
      <c r="N63" s="546">
        <v>15572.53</v>
      </c>
      <c r="O63" s="546">
        <v>20067.189999999999</v>
      </c>
      <c r="P63" s="549">
        <v>16558.34</v>
      </c>
      <c r="Q63" s="482">
        <v>16022.56</v>
      </c>
      <c r="R63" s="412">
        <f t="shared" si="4"/>
        <v>89154.069999999992</v>
      </c>
      <c r="S63" s="456">
        <f t="shared" si="5"/>
        <v>14859.011666666665</v>
      </c>
      <c r="U63" s="9">
        <f t="shared" si="17"/>
        <v>0</v>
      </c>
      <c r="V63" s="9">
        <f t="shared" si="17"/>
        <v>67</v>
      </c>
      <c r="W63" s="9">
        <f t="shared" si="17"/>
        <v>0</v>
      </c>
      <c r="X63" s="9">
        <f t="shared" si="17"/>
        <v>0</v>
      </c>
      <c r="Y63" s="9">
        <f t="shared" si="17"/>
        <v>0</v>
      </c>
      <c r="Z63" s="9">
        <f t="shared" si="17"/>
        <v>0</v>
      </c>
      <c r="AA63" s="9">
        <f t="shared" si="17"/>
        <v>0</v>
      </c>
      <c r="AB63" s="9">
        <f t="shared" si="17"/>
        <v>0</v>
      </c>
      <c r="AC63" s="9">
        <f t="shared" si="17"/>
        <v>0</v>
      </c>
      <c r="AD63" s="9">
        <f t="shared" si="17"/>
        <v>0</v>
      </c>
      <c r="AE63" s="9">
        <f t="shared" si="17"/>
        <v>0</v>
      </c>
      <c r="AF63" s="9">
        <f t="shared" si="17"/>
        <v>0</v>
      </c>
      <c r="AG63" s="9">
        <f t="shared" si="17"/>
        <v>0</v>
      </c>
      <c r="AH63" s="9">
        <f t="shared" si="17"/>
        <v>0</v>
      </c>
      <c r="AI63" s="9">
        <f t="shared" si="17"/>
        <v>0</v>
      </c>
      <c r="AJ63" s="365">
        <f t="shared" si="3"/>
        <v>67</v>
      </c>
      <c r="AK63" s="460">
        <f t="shared" si="7"/>
        <v>0</v>
      </c>
    </row>
    <row r="64" spans="1:37" ht="14">
      <c r="A64" s="402" t="s">
        <v>533</v>
      </c>
      <c r="B64" s="403">
        <v>7008700</v>
      </c>
      <c r="C64" s="403"/>
      <c r="D64" s="402" t="s">
        <v>109</v>
      </c>
      <c r="E64" s="402" t="s">
        <v>109</v>
      </c>
      <c r="F64" s="483">
        <v>869.66</v>
      </c>
      <c r="G64" s="528">
        <v>326.83999999999997</v>
      </c>
      <c r="H64" s="530">
        <v>1242.02</v>
      </c>
      <c r="I64" s="533">
        <v>1610.16</v>
      </c>
      <c r="J64" s="536">
        <v>1326.68</v>
      </c>
      <c r="K64" s="537">
        <v>379.44</v>
      </c>
      <c r="L64" s="501">
        <v>351.9</v>
      </c>
      <c r="M64" s="530">
        <v>339.67</v>
      </c>
      <c r="N64" s="530">
        <v>275.74</v>
      </c>
      <c r="O64" s="546">
        <v>955.23</v>
      </c>
      <c r="P64" s="549">
        <v>279.74</v>
      </c>
      <c r="Q64" s="482">
        <v>295.45999999999998</v>
      </c>
      <c r="R64" s="412">
        <f t="shared" si="4"/>
        <v>2497.7399999999998</v>
      </c>
      <c r="S64" s="456">
        <f t="shared" si="5"/>
        <v>416.28999999999996</v>
      </c>
      <c r="U64" s="9">
        <f t="shared" si="17"/>
        <v>0</v>
      </c>
      <c r="V64" s="9">
        <f t="shared" si="17"/>
        <v>0</v>
      </c>
      <c r="W64" s="9">
        <f t="shared" si="17"/>
        <v>0</v>
      </c>
      <c r="X64" s="9">
        <f t="shared" si="17"/>
        <v>0</v>
      </c>
      <c r="Y64" s="9">
        <f t="shared" si="17"/>
        <v>0</v>
      </c>
      <c r="Z64" s="9">
        <f t="shared" si="17"/>
        <v>0</v>
      </c>
      <c r="AA64" s="9">
        <f t="shared" si="17"/>
        <v>0</v>
      </c>
      <c r="AB64" s="9">
        <f t="shared" si="17"/>
        <v>0</v>
      </c>
      <c r="AC64" s="9">
        <f t="shared" si="17"/>
        <v>0</v>
      </c>
      <c r="AD64" s="9">
        <f t="shared" si="17"/>
        <v>0</v>
      </c>
      <c r="AE64" s="9">
        <f t="shared" si="17"/>
        <v>0</v>
      </c>
      <c r="AF64" s="9">
        <f t="shared" si="17"/>
        <v>0</v>
      </c>
      <c r="AG64" s="9">
        <f t="shared" si="17"/>
        <v>0</v>
      </c>
      <c r="AH64" s="9">
        <f t="shared" si="17"/>
        <v>0</v>
      </c>
      <c r="AI64" s="9">
        <f t="shared" si="17"/>
        <v>0</v>
      </c>
      <c r="AJ64" s="365">
        <f t="shared" si="3"/>
        <v>0</v>
      </c>
      <c r="AK64" s="460">
        <f t="shared" si="7"/>
        <v>0</v>
      </c>
    </row>
    <row r="65" spans="1:37" ht="14">
      <c r="A65" s="402" t="s">
        <v>1000</v>
      </c>
      <c r="B65" s="403">
        <v>7008800</v>
      </c>
      <c r="C65" s="403">
        <v>7</v>
      </c>
      <c r="D65" s="402" t="s">
        <v>88</v>
      </c>
      <c r="E65" s="402" t="s">
        <v>88</v>
      </c>
      <c r="F65" s="483">
        <v>741.63</v>
      </c>
      <c r="G65" s="528">
        <v>1374.45</v>
      </c>
      <c r="H65" s="530">
        <v>1244.52</v>
      </c>
      <c r="I65" s="533">
        <v>2374.56</v>
      </c>
      <c r="J65" s="536">
        <v>1341.13</v>
      </c>
      <c r="K65" s="537">
        <f>1341.13+275.32</f>
        <v>1616.45</v>
      </c>
      <c r="L65" s="501">
        <v>128.18</v>
      </c>
      <c r="M65" s="543">
        <v>485.4</v>
      </c>
      <c r="N65" s="530">
        <v>828.24</v>
      </c>
      <c r="O65" s="546">
        <v>2048.9299999999998</v>
      </c>
      <c r="P65" s="549">
        <v>1303.1400000000001</v>
      </c>
      <c r="Q65" s="482">
        <v>1257.75</v>
      </c>
      <c r="R65" s="412">
        <f t="shared" si="4"/>
        <v>6051.64</v>
      </c>
      <c r="S65" s="456">
        <f t="shared" si="5"/>
        <v>1008.6066666666667</v>
      </c>
      <c r="U65" s="9">
        <f t="shared" si="17"/>
        <v>0</v>
      </c>
      <c r="V65" s="9">
        <f t="shared" si="17"/>
        <v>0</v>
      </c>
      <c r="W65" s="9">
        <f t="shared" si="17"/>
        <v>0</v>
      </c>
      <c r="X65" s="9">
        <f t="shared" si="17"/>
        <v>0</v>
      </c>
      <c r="Y65" s="9">
        <f t="shared" si="17"/>
        <v>0</v>
      </c>
      <c r="Z65" s="9">
        <f t="shared" si="17"/>
        <v>0</v>
      </c>
      <c r="AA65" s="9">
        <f t="shared" si="17"/>
        <v>0</v>
      </c>
      <c r="AB65" s="9">
        <f t="shared" si="17"/>
        <v>0</v>
      </c>
      <c r="AC65" s="9">
        <f t="shared" si="17"/>
        <v>0</v>
      </c>
      <c r="AD65" s="9">
        <f t="shared" si="17"/>
        <v>0</v>
      </c>
      <c r="AE65" s="9">
        <f t="shared" si="17"/>
        <v>0</v>
      </c>
      <c r="AF65" s="9">
        <f t="shared" si="17"/>
        <v>0</v>
      </c>
      <c r="AG65" s="9">
        <f t="shared" si="17"/>
        <v>0</v>
      </c>
      <c r="AH65" s="9">
        <f t="shared" si="17"/>
        <v>7</v>
      </c>
      <c r="AI65" s="9">
        <f t="shared" si="17"/>
        <v>0</v>
      </c>
      <c r="AJ65" s="365">
        <f t="shared" si="3"/>
        <v>7</v>
      </c>
      <c r="AK65" s="460">
        <f t="shared" si="7"/>
        <v>0</v>
      </c>
    </row>
    <row r="66" spans="1:37" ht="14">
      <c r="A66" s="402" t="s">
        <v>663</v>
      </c>
      <c r="B66" s="403">
        <v>15067165</v>
      </c>
      <c r="C66" s="403">
        <v>409</v>
      </c>
      <c r="D66" s="402" t="s">
        <v>264</v>
      </c>
      <c r="E66" s="402" t="s">
        <v>893</v>
      </c>
      <c r="F66" s="483">
        <v>101132.34</v>
      </c>
      <c r="G66" s="528">
        <v>101132.34</v>
      </c>
      <c r="H66" s="530">
        <v>130198.17</v>
      </c>
      <c r="I66" s="533">
        <v>108170.72</v>
      </c>
      <c r="J66" s="536">
        <v>130426.74</v>
      </c>
      <c r="K66" s="537">
        <v>100693.92</v>
      </c>
      <c r="L66" s="501">
        <v>41878.18</v>
      </c>
      <c r="M66" s="530">
        <v>60587.93</v>
      </c>
      <c r="N66" s="530">
        <v>102796.95</v>
      </c>
      <c r="O66" s="546">
        <v>142327.54999999999</v>
      </c>
      <c r="P66" s="549">
        <v>141634.79999999999</v>
      </c>
      <c r="Q66" s="482">
        <v>129760.37</v>
      </c>
      <c r="R66" s="412">
        <f t="shared" si="4"/>
        <v>618985.78</v>
      </c>
      <c r="S66" s="456">
        <f t="shared" si="5"/>
        <v>103164.29666666668</v>
      </c>
      <c r="U66" s="9">
        <f t="shared" si="17"/>
        <v>0</v>
      </c>
      <c r="V66" s="9">
        <f t="shared" si="17"/>
        <v>0</v>
      </c>
      <c r="W66" s="9">
        <f t="shared" si="17"/>
        <v>0</v>
      </c>
      <c r="X66" s="9">
        <f t="shared" si="17"/>
        <v>0</v>
      </c>
      <c r="Y66" s="9">
        <f t="shared" si="17"/>
        <v>0</v>
      </c>
      <c r="Z66" s="9">
        <f t="shared" si="17"/>
        <v>0</v>
      </c>
      <c r="AA66" s="9">
        <f t="shared" si="17"/>
        <v>0</v>
      </c>
      <c r="AB66" s="9">
        <f t="shared" si="17"/>
        <v>409</v>
      </c>
      <c r="AC66" s="9">
        <f t="shared" si="17"/>
        <v>0</v>
      </c>
      <c r="AD66" s="9">
        <f t="shared" si="17"/>
        <v>0</v>
      </c>
      <c r="AE66" s="9">
        <f t="shared" si="17"/>
        <v>0</v>
      </c>
      <c r="AF66" s="9">
        <f t="shared" si="17"/>
        <v>0</v>
      </c>
      <c r="AG66" s="9">
        <f t="shared" si="17"/>
        <v>0</v>
      </c>
      <c r="AH66" s="9">
        <f t="shared" si="17"/>
        <v>0</v>
      </c>
      <c r="AI66" s="9">
        <f t="shared" si="17"/>
        <v>0</v>
      </c>
      <c r="AJ66" s="365">
        <f t="shared" ref="AJ66:AJ98" si="18">+SUM(U66:AI66)</f>
        <v>409</v>
      </c>
      <c r="AK66" s="460">
        <f t="shared" ref="AK66:AK98" si="19">+AJ66-C66</f>
        <v>0</v>
      </c>
    </row>
    <row r="67" spans="1:37" ht="14">
      <c r="A67" s="402" t="s">
        <v>659</v>
      </c>
      <c r="B67" s="403">
        <v>7005102</v>
      </c>
      <c r="C67" s="403">
        <v>99</v>
      </c>
      <c r="D67" s="402" t="s">
        <v>633</v>
      </c>
      <c r="E67" s="402" t="s">
        <v>265</v>
      </c>
      <c r="F67" s="483">
        <v>8180.39</v>
      </c>
      <c r="G67" s="528">
        <v>8179.59</v>
      </c>
      <c r="H67" s="530">
        <v>8995.74</v>
      </c>
      <c r="I67" s="533">
        <v>12148.01</v>
      </c>
      <c r="J67" s="536">
        <v>9268.94</v>
      </c>
      <c r="K67" s="537">
        <v>5076.1899999999996</v>
      </c>
      <c r="L67" s="501">
        <v>4444.3599999999997</v>
      </c>
      <c r="M67" s="543">
        <v>5024.45</v>
      </c>
      <c r="N67" s="530">
        <v>7392.58</v>
      </c>
      <c r="O67" s="546">
        <v>6908.84</v>
      </c>
      <c r="P67" s="549">
        <v>6811.87</v>
      </c>
      <c r="Q67" s="482">
        <v>1265.99</v>
      </c>
      <c r="R67" s="412">
        <f t="shared" si="4"/>
        <v>31848.09</v>
      </c>
      <c r="S67" s="456">
        <f t="shared" si="5"/>
        <v>5308.0150000000003</v>
      </c>
      <c r="U67" s="9">
        <f t="shared" si="17"/>
        <v>0</v>
      </c>
      <c r="V67" s="9">
        <f t="shared" si="17"/>
        <v>0</v>
      </c>
      <c r="W67" s="9">
        <f t="shared" si="17"/>
        <v>0</v>
      </c>
      <c r="X67" s="9">
        <f t="shared" si="17"/>
        <v>0</v>
      </c>
      <c r="Y67" s="9">
        <f t="shared" si="17"/>
        <v>0</v>
      </c>
      <c r="Z67" s="9">
        <f t="shared" si="17"/>
        <v>0</v>
      </c>
      <c r="AA67" s="9">
        <f t="shared" si="17"/>
        <v>0</v>
      </c>
      <c r="AB67" s="9">
        <f t="shared" si="17"/>
        <v>0</v>
      </c>
      <c r="AC67" s="9">
        <f t="shared" si="17"/>
        <v>0</v>
      </c>
      <c r="AD67" s="9">
        <f t="shared" si="17"/>
        <v>0</v>
      </c>
      <c r="AE67" s="9">
        <f t="shared" si="17"/>
        <v>0</v>
      </c>
      <c r="AF67" s="9">
        <f t="shared" si="17"/>
        <v>99</v>
      </c>
      <c r="AG67" s="9">
        <f t="shared" si="17"/>
        <v>0</v>
      </c>
      <c r="AH67" s="9">
        <f t="shared" si="17"/>
        <v>0</v>
      </c>
      <c r="AI67" s="9">
        <f t="shared" si="17"/>
        <v>0</v>
      </c>
      <c r="AJ67" s="365">
        <f t="shared" si="18"/>
        <v>99</v>
      </c>
      <c r="AK67" s="460">
        <f t="shared" si="19"/>
        <v>0</v>
      </c>
    </row>
    <row r="68" spans="1:37" ht="14">
      <c r="A68" s="402" t="s">
        <v>1000</v>
      </c>
      <c r="B68" s="403">
        <v>13675300</v>
      </c>
      <c r="C68" s="403"/>
      <c r="D68" s="402" t="s">
        <v>646</v>
      </c>
      <c r="E68" s="402" t="s">
        <v>967</v>
      </c>
      <c r="F68" s="483">
        <v>504.39</v>
      </c>
      <c r="G68" s="528">
        <v>493.34</v>
      </c>
      <c r="H68" s="544"/>
      <c r="I68" s="544"/>
      <c r="J68" s="536">
        <v>916.05</v>
      </c>
      <c r="K68" s="544"/>
      <c r="L68" s="544"/>
      <c r="M68" s="482"/>
      <c r="N68" s="482"/>
      <c r="O68" s="482"/>
      <c r="P68" s="549">
        <v>658.58</v>
      </c>
      <c r="Q68" s="482">
        <v>376.64</v>
      </c>
      <c r="R68" s="412">
        <f t="shared" si="4"/>
        <v>1035.22</v>
      </c>
      <c r="S68" s="456">
        <f t="shared" si="5"/>
        <v>172.53666666666666</v>
      </c>
      <c r="U68" s="9">
        <f t="shared" si="17"/>
        <v>0</v>
      </c>
      <c r="V68" s="9">
        <f t="shared" si="17"/>
        <v>0</v>
      </c>
      <c r="W68" s="9">
        <f t="shared" si="17"/>
        <v>0</v>
      </c>
      <c r="X68" s="9">
        <f t="shared" si="17"/>
        <v>0</v>
      </c>
      <c r="Y68" s="9">
        <f t="shared" si="17"/>
        <v>0</v>
      </c>
      <c r="Z68" s="9">
        <f t="shared" si="17"/>
        <v>0</v>
      </c>
      <c r="AA68" s="9">
        <f t="shared" si="17"/>
        <v>0</v>
      </c>
      <c r="AB68" s="9">
        <f t="shared" si="17"/>
        <v>0</v>
      </c>
      <c r="AC68" s="9">
        <f t="shared" si="17"/>
        <v>0</v>
      </c>
      <c r="AD68" s="9">
        <f t="shared" si="17"/>
        <v>0</v>
      </c>
      <c r="AE68" s="9">
        <f t="shared" si="17"/>
        <v>0</v>
      </c>
      <c r="AF68" s="9">
        <f t="shared" si="17"/>
        <v>0</v>
      </c>
      <c r="AG68" s="9">
        <f t="shared" si="17"/>
        <v>0</v>
      </c>
      <c r="AH68" s="9">
        <f t="shared" si="17"/>
        <v>0</v>
      </c>
      <c r="AI68" s="9">
        <f t="shared" si="17"/>
        <v>0</v>
      </c>
      <c r="AJ68" s="365">
        <f t="shared" si="18"/>
        <v>0</v>
      </c>
      <c r="AK68" s="460">
        <f t="shared" si="19"/>
        <v>0</v>
      </c>
    </row>
    <row r="69" spans="1:37" ht="14">
      <c r="A69" s="402" t="s">
        <v>659</v>
      </c>
      <c r="B69" s="403">
        <v>15066520</v>
      </c>
      <c r="C69" s="403">
        <v>98</v>
      </c>
      <c r="D69" s="405"/>
      <c r="E69" s="405" t="s">
        <v>911</v>
      </c>
      <c r="F69" s="483">
        <v>10047.200000000001</v>
      </c>
      <c r="G69" s="528">
        <v>8177.48</v>
      </c>
      <c r="H69" s="530">
        <v>8735.9</v>
      </c>
      <c r="I69" s="533">
        <v>11480.71</v>
      </c>
      <c r="J69" s="536">
        <v>9665.5400000000009</v>
      </c>
      <c r="K69" s="537">
        <v>5944.62</v>
      </c>
      <c r="L69" s="501">
        <v>5914.08</v>
      </c>
      <c r="M69" s="543">
        <v>5855.67</v>
      </c>
      <c r="N69" s="546">
        <v>9411.68</v>
      </c>
      <c r="O69" s="546">
        <v>9330.98</v>
      </c>
      <c r="P69" s="549">
        <v>8645.89</v>
      </c>
      <c r="Q69" s="482">
        <v>7783.74</v>
      </c>
      <c r="R69" s="412">
        <f t="shared" ref="R69:R98" si="20">+SUM(L69:Q69)</f>
        <v>46942.04</v>
      </c>
      <c r="S69" s="456">
        <f t="shared" ref="S69:S98" si="21">+R69/6</f>
        <v>7823.6733333333332</v>
      </c>
      <c r="U69" s="9">
        <f t="shared" si="17"/>
        <v>0</v>
      </c>
      <c r="V69" s="9">
        <f t="shared" si="17"/>
        <v>0</v>
      </c>
      <c r="W69" s="9">
        <f t="shared" si="17"/>
        <v>0</v>
      </c>
      <c r="X69" s="9">
        <f t="shared" si="17"/>
        <v>0</v>
      </c>
      <c r="Y69" s="9">
        <f t="shared" si="17"/>
        <v>0</v>
      </c>
      <c r="Z69" s="9">
        <f t="shared" si="17"/>
        <v>0</v>
      </c>
      <c r="AA69" s="9">
        <f t="shared" si="17"/>
        <v>0</v>
      </c>
      <c r="AB69" s="9">
        <f t="shared" si="17"/>
        <v>0</v>
      </c>
      <c r="AC69" s="9">
        <f t="shared" si="17"/>
        <v>0</v>
      </c>
      <c r="AD69" s="9">
        <f t="shared" si="17"/>
        <v>0</v>
      </c>
      <c r="AE69" s="9">
        <f t="shared" si="17"/>
        <v>0</v>
      </c>
      <c r="AF69" s="9">
        <f t="shared" si="17"/>
        <v>98</v>
      </c>
      <c r="AG69" s="9">
        <f t="shared" si="17"/>
        <v>0</v>
      </c>
      <c r="AH69" s="9">
        <f t="shared" si="17"/>
        <v>0</v>
      </c>
      <c r="AI69" s="9">
        <f t="shared" si="17"/>
        <v>0</v>
      </c>
      <c r="AJ69" s="365">
        <f t="shared" si="18"/>
        <v>98</v>
      </c>
      <c r="AK69" s="460">
        <f t="shared" si="19"/>
        <v>0</v>
      </c>
    </row>
    <row r="70" spans="1:37" ht="14">
      <c r="A70" s="402" t="s">
        <v>535</v>
      </c>
      <c r="B70" s="403">
        <v>15061713</v>
      </c>
      <c r="C70" s="403">
        <v>84</v>
      </c>
      <c r="D70" s="405"/>
      <c r="E70" s="405" t="s">
        <v>511</v>
      </c>
      <c r="F70" s="483">
        <v>9204.2099999999991</v>
      </c>
      <c r="G70" s="528">
        <v>7473.69</v>
      </c>
      <c r="H70" s="530">
        <v>7725.25</v>
      </c>
      <c r="I70" s="533">
        <v>9181.86</v>
      </c>
      <c r="J70" s="536">
        <v>8108.93</v>
      </c>
      <c r="K70" s="537">
        <v>8375.4599999999991</v>
      </c>
      <c r="L70" s="543">
        <v>7208.2</v>
      </c>
      <c r="M70" s="543">
        <v>6833.65</v>
      </c>
      <c r="N70" s="530">
        <v>9260.66</v>
      </c>
      <c r="O70" s="546">
        <v>8829.2099999999991</v>
      </c>
      <c r="P70" s="549">
        <v>8522.3700000000008</v>
      </c>
      <c r="Q70" s="482">
        <v>9113.35</v>
      </c>
      <c r="R70" s="412">
        <f t="shared" si="20"/>
        <v>49767.439999999995</v>
      </c>
      <c r="S70" s="456">
        <f t="shared" si="21"/>
        <v>8294.5733333333319</v>
      </c>
      <c r="U70" s="9">
        <f t="shared" ref="U70:AI86" si="22">+IF($A70=U$3,$C70,0)</f>
        <v>0</v>
      </c>
      <c r="V70" s="9">
        <f t="shared" si="22"/>
        <v>0</v>
      </c>
      <c r="W70" s="9">
        <f t="shared" si="22"/>
        <v>0</v>
      </c>
      <c r="X70" s="9">
        <f t="shared" si="22"/>
        <v>0</v>
      </c>
      <c r="Y70" s="9">
        <f t="shared" si="22"/>
        <v>0</v>
      </c>
      <c r="Z70" s="9">
        <f t="shared" si="22"/>
        <v>0</v>
      </c>
      <c r="AA70" s="9">
        <f t="shared" si="22"/>
        <v>0</v>
      </c>
      <c r="AB70" s="9">
        <f t="shared" si="22"/>
        <v>84</v>
      </c>
      <c r="AC70" s="9">
        <f t="shared" si="22"/>
        <v>0</v>
      </c>
      <c r="AD70" s="9">
        <f t="shared" si="22"/>
        <v>0</v>
      </c>
      <c r="AE70" s="9">
        <f t="shared" si="22"/>
        <v>0</v>
      </c>
      <c r="AF70" s="9">
        <f t="shared" si="22"/>
        <v>0</v>
      </c>
      <c r="AG70" s="9">
        <f t="shared" si="22"/>
        <v>0</v>
      </c>
      <c r="AH70" s="9">
        <f t="shared" si="22"/>
        <v>0</v>
      </c>
      <c r="AI70" s="9">
        <f t="shared" si="22"/>
        <v>0</v>
      </c>
      <c r="AJ70" s="365">
        <f t="shared" si="18"/>
        <v>84</v>
      </c>
      <c r="AK70" s="460">
        <f t="shared" si="19"/>
        <v>0</v>
      </c>
    </row>
    <row r="71" spans="1:37" ht="14">
      <c r="A71" s="402" t="s">
        <v>658</v>
      </c>
      <c r="B71" s="403">
        <v>15063838</v>
      </c>
      <c r="C71" s="403">
        <v>120</v>
      </c>
      <c r="D71" s="402"/>
      <c r="E71" s="402" t="s">
        <v>908</v>
      </c>
      <c r="F71" s="483">
        <v>36046.980000000003</v>
      </c>
      <c r="G71" s="528">
        <v>32804.32</v>
      </c>
      <c r="H71" s="530">
        <v>41436.18</v>
      </c>
      <c r="I71" s="533">
        <v>53641.17</v>
      </c>
      <c r="J71" s="536">
        <v>49596.26</v>
      </c>
      <c r="K71" s="537">
        <v>24364.31</v>
      </c>
      <c r="L71" s="530">
        <v>17660.39</v>
      </c>
      <c r="M71" s="530">
        <v>23362.98</v>
      </c>
      <c r="N71" s="530">
        <v>31392.73</v>
      </c>
      <c r="O71" s="546">
        <v>40330.54</v>
      </c>
      <c r="P71" s="549">
        <v>36106.19</v>
      </c>
      <c r="Q71" s="482">
        <v>31276.01</v>
      </c>
      <c r="R71" s="412">
        <f t="shared" si="20"/>
        <v>180128.84</v>
      </c>
      <c r="S71" s="456">
        <f t="shared" si="21"/>
        <v>30021.473333333332</v>
      </c>
      <c r="U71" s="9">
        <f t="shared" si="22"/>
        <v>0</v>
      </c>
      <c r="V71" s="9">
        <f t="shared" si="22"/>
        <v>0</v>
      </c>
      <c r="W71" s="9">
        <f t="shared" si="22"/>
        <v>0</v>
      </c>
      <c r="X71" s="9">
        <f t="shared" si="22"/>
        <v>0</v>
      </c>
      <c r="Y71" s="9">
        <f t="shared" si="22"/>
        <v>0</v>
      </c>
      <c r="Z71" s="9">
        <f t="shared" si="22"/>
        <v>0</v>
      </c>
      <c r="AA71" s="9">
        <f t="shared" si="22"/>
        <v>0</v>
      </c>
      <c r="AB71" s="9">
        <f t="shared" si="22"/>
        <v>0</v>
      </c>
      <c r="AC71" s="9">
        <f t="shared" si="22"/>
        <v>120</v>
      </c>
      <c r="AD71" s="9">
        <f t="shared" si="22"/>
        <v>0</v>
      </c>
      <c r="AE71" s="9">
        <f t="shared" si="22"/>
        <v>0</v>
      </c>
      <c r="AF71" s="9">
        <f t="shared" si="22"/>
        <v>0</v>
      </c>
      <c r="AG71" s="9">
        <f t="shared" si="22"/>
        <v>0</v>
      </c>
      <c r="AH71" s="9">
        <f t="shared" si="22"/>
        <v>0</v>
      </c>
      <c r="AI71" s="9">
        <f t="shared" si="22"/>
        <v>0</v>
      </c>
      <c r="AJ71" s="365">
        <f t="shared" si="18"/>
        <v>120</v>
      </c>
      <c r="AK71" s="460">
        <f t="shared" si="19"/>
        <v>0</v>
      </c>
    </row>
    <row r="72" spans="1:37" ht="14">
      <c r="A72" s="402" t="s">
        <v>659</v>
      </c>
      <c r="B72" s="403">
        <v>15036180</v>
      </c>
      <c r="C72" s="403">
        <v>123</v>
      </c>
      <c r="D72" s="402" t="s">
        <v>626</v>
      </c>
      <c r="E72" s="402" t="s">
        <v>687</v>
      </c>
      <c r="F72" s="483">
        <v>11675.31</v>
      </c>
      <c r="G72" s="530">
        <v>10543.55</v>
      </c>
      <c r="H72" s="530">
        <v>11671.04</v>
      </c>
      <c r="I72" s="536">
        <v>16814.38</v>
      </c>
      <c r="J72" s="536">
        <v>8937.2999999999993</v>
      </c>
      <c r="K72" s="501">
        <v>5047.7</v>
      </c>
      <c r="L72" s="530">
        <v>4214.09</v>
      </c>
      <c r="M72" s="530">
        <v>3951.73</v>
      </c>
      <c r="N72" s="549">
        <v>9226.4699999999993</v>
      </c>
      <c r="O72" s="549">
        <v>10773.4</v>
      </c>
      <c r="P72" s="551">
        <v>9362.23</v>
      </c>
      <c r="Q72" s="482">
        <v>10758.52</v>
      </c>
      <c r="R72" s="412">
        <f t="shared" si="20"/>
        <v>48286.44</v>
      </c>
      <c r="S72" s="456">
        <f t="shared" si="21"/>
        <v>8047.7400000000007</v>
      </c>
      <c r="U72" s="9">
        <f t="shared" si="22"/>
        <v>0</v>
      </c>
      <c r="V72" s="9">
        <f t="shared" si="22"/>
        <v>0</v>
      </c>
      <c r="W72" s="9">
        <f t="shared" si="22"/>
        <v>0</v>
      </c>
      <c r="X72" s="9">
        <f t="shared" si="22"/>
        <v>0</v>
      </c>
      <c r="Y72" s="9">
        <f t="shared" si="22"/>
        <v>0</v>
      </c>
      <c r="Z72" s="9">
        <f t="shared" si="22"/>
        <v>0</v>
      </c>
      <c r="AA72" s="9">
        <f t="shared" si="22"/>
        <v>0</v>
      </c>
      <c r="AB72" s="9">
        <f t="shared" si="22"/>
        <v>0</v>
      </c>
      <c r="AC72" s="9">
        <f t="shared" si="22"/>
        <v>0</v>
      </c>
      <c r="AD72" s="9">
        <f t="shared" si="22"/>
        <v>0</v>
      </c>
      <c r="AE72" s="9">
        <f t="shared" si="22"/>
        <v>0</v>
      </c>
      <c r="AF72" s="9">
        <f t="shared" si="22"/>
        <v>123</v>
      </c>
      <c r="AG72" s="9">
        <f t="shared" si="22"/>
        <v>0</v>
      </c>
      <c r="AH72" s="9">
        <f t="shared" si="22"/>
        <v>0</v>
      </c>
      <c r="AI72" s="9">
        <f t="shared" si="22"/>
        <v>0</v>
      </c>
      <c r="AJ72" s="365">
        <f t="shared" si="18"/>
        <v>123</v>
      </c>
      <c r="AK72" s="460">
        <f t="shared" si="19"/>
        <v>0</v>
      </c>
    </row>
    <row r="73" spans="1:37" ht="14">
      <c r="A73" s="402" t="s">
        <v>535</v>
      </c>
      <c r="B73" s="403">
        <v>15075513</v>
      </c>
      <c r="C73" s="403">
        <f>122+49</f>
        <v>171</v>
      </c>
      <c r="D73" s="402"/>
      <c r="E73" s="402" t="s">
        <v>998</v>
      </c>
      <c r="F73" s="483">
        <v>15287.72</v>
      </c>
      <c r="G73" s="530">
        <v>11606.4</v>
      </c>
      <c r="H73" s="530">
        <v>10911.47</v>
      </c>
      <c r="I73" s="533">
        <v>17438.77</v>
      </c>
      <c r="J73" s="536">
        <v>13536.04</v>
      </c>
      <c r="K73" s="537">
        <v>4192.42</v>
      </c>
      <c r="L73" s="543">
        <v>3128.8</v>
      </c>
      <c r="M73" s="530">
        <v>6319.08</v>
      </c>
      <c r="N73" s="530">
        <v>14441.7</v>
      </c>
      <c r="O73" s="546">
        <v>17825.59</v>
      </c>
      <c r="P73" s="549">
        <v>20165.84</v>
      </c>
      <c r="Q73" s="482">
        <v>16525.830000000002</v>
      </c>
      <c r="R73" s="412">
        <f t="shared" si="20"/>
        <v>78406.84</v>
      </c>
      <c r="S73" s="456">
        <f t="shared" si="21"/>
        <v>13067.806666666665</v>
      </c>
      <c r="U73" s="9">
        <f t="shared" si="22"/>
        <v>0</v>
      </c>
      <c r="V73" s="9">
        <f t="shared" si="22"/>
        <v>0</v>
      </c>
      <c r="W73" s="9">
        <f t="shared" si="22"/>
        <v>0</v>
      </c>
      <c r="X73" s="9">
        <f t="shared" si="22"/>
        <v>0</v>
      </c>
      <c r="Y73" s="9">
        <f t="shared" si="22"/>
        <v>0</v>
      </c>
      <c r="Z73" s="9">
        <f t="shared" si="22"/>
        <v>0</v>
      </c>
      <c r="AA73" s="9">
        <f t="shared" si="22"/>
        <v>0</v>
      </c>
      <c r="AB73" s="9">
        <f t="shared" si="22"/>
        <v>171</v>
      </c>
      <c r="AC73" s="9">
        <f t="shared" si="22"/>
        <v>0</v>
      </c>
      <c r="AD73" s="9">
        <f t="shared" si="22"/>
        <v>0</v>
      </c>
      <c r="AE73" s="9">
        <f t="shared" si="22"/>
        <v>0</v>
      </c>
      <c r="AF73" s="9">
        <f t="shared" si="22"/>
        <v>0</v>
      </c>
      <c r="AG73" s="9">
        <f t="shared" si="22"/>
        <v>0</v>
      </c>
      <c r="AH73" s="9">
        <f t="shared" si="22"/>
        <v>0</v>
      </c>
      <c r="AI73" s="9">
        <f t="shared" si="22"/>
        <v>0</v>
      </c>
      <c r="AJ73" s="365">
        <f>+SUM(U73:AI73)</f>
        <v>171</v>
      </c>
      <c r="AK73" s="460">
        <f t="shared" si="19"/>
        <v>0</v>
      </c>
    </row>
    <row r="74" spans="1:37" ht="14">
      <c r="A74" s="402" t="s">
        <v>662</v>
      </c>
      <c r="B74" s="403">
        <v>7001502</v>
      </c>
      <c r="C74" s="403">
        <v>145</v>
      </c>
      <c r="D74" s="402" t="s">
        <v>650</v>
      </c>
      <c r="E74" s="402" t="s">
        <v>270</v>
      </c>
      <c r="F74" s="483">
        <v>12639.66</v>
      </c>
      <c r="G74" s="528">
        <v>9895.0300000000007</v>
      </c>
      <c r="H74" s="530">
        <v>12465.13</v>
      </c>
      <c r="I74" s="533">
        <v>15404.61</v>
      </c>
      <c r="J74" s="536">
        <v>10227.129999999999</v>
      </c>
      <c r="K74" s="537">
        <v>5321.89</v>
      </c>
      <c r="L74" s="501">
        <v>4777.1099999999997</v>
      </c>
      <c r="M74" s="543">
        <v>5022.75</v>
      </c>
      <c r="N74" s="530">
        <v>5866.49</v>
      </c>
      <c r="O74" s="546">
        <v>7250.93</v>
      </c>
      <c r="P74" s="549">
        <v>6144.31</v>
      </c>
      <c r="Q74" s="482">
        <v>5517.3</v>
      </c>
      <c r="R74" s="412">
        <f t="shared" si="20"/>
        <v>34578.89</v>
      </c>
      <c r="S74" s="456">
        <f t="shared" si="21"/>
        <v>5763.1483333333335</v>
      </c>
      <c r="U74" s="9">
        <f t="shared" si="22"/>
        <v>0</v>
      </c>
      <c r="V74" s="9">
        <f t="shared" si="22"/>
        <v>0</v>
      </c>
      <c r="W74" s="9">
        <f t="shared" si="22"/>
        <v>145</v>
      </c>
      <c r="X74" s="9">
        <f t="shared" si="22"/>
        <v>0</v>
      </c>
      <c r="Y74" s="9">
        <f t="shared" si="22"/>
        <v>0</v>
      </c>
      <c r="Z74" s="9">
        <f t="shared" si="22"/>
        <v>0</v>
      </c>
      <c r="AA74" s="9">
        <f t="shared" si="22"/>
        <v>0</v>
      </c>
      <c r="AB74" s="9">
        <f t="shared" si="22"/>
        <v>0</v>
      </c>
      <c r="AC74" s="9">
        <f t="shared" si="22"/>
        <v>0</v>
      </c>
      <c r="AD74" s="9">
        <f t="shared" si="22"/>
        <v>0</v>
      </c>
      <c r="AE74" s="9">
        <f t="shared" si="22"/>
        <v>0</v>
      </c>
      <c r="AF74" s="9">
        <f t="shared" si="22"/>
        <v>0</v>
      </c>
      <c r="AG74" s="9">
        <f t="shared" si="22"/>
        <v>0</v>
      </c>
      <c r="AH74" s="9">
        <f t="shared" si="22"/>
        <v>0</v>
      </c>
      <c r="AI74" s="9">
        <f t="shared" si="22"/>
        <v>0</v>
      </c>
      <c r="AJ74" s="365">
        <f t="shared" si="18"/>
        <v>145</v>
      </c>
      <c r="AK74" s="460">
        <f t="shared" si="19"/>
        <v>0</v>
      </c>
    </row>
    <row r="75" spans="1:37" ht="14">
      <c r="A75" s="402" t="s">
        <v>662</v>
      </c>
      <c r="B75" s="404">
        <v>15067771</v>
      </c>
      <c r="C75" s="404">
        <v>108</v>
      </c>
      <c r="D75" s="405"/>
      <c r="E75" s="405" t="s">
        <v>921</v>
      </c>
      <c r="F75" s="483">
        <v>10839.43</v>
      </c>
      <c r="G75" s="528">
        <v>8510.99</v>
      </c>
      <c r="H75" s="530">
        <v>11103.13</v>
      </c>
      <c r="I75" s="533">
        <v>14036.49</v>
      </c>
      <c r="J75" s="536">
        <v>11437.52</v>
      </c>
      <c r="K75" s="537">
        <v>8186.85</v>
      </c>
      <c r="L75" s="501">
        <v>7069.13</v>
      </c>
      <c r="M75" s="543">
        <v>7578.27</v>
      </c>
      <c r="N75" s="530">
        <v>12026.84</v>
      </c>
      <c r="O75" s="546">
        <v>11998.76</v>
      </c>
      <c r="P75" s="549">
        <v>9879.34</v>
      </c>
      <c r="Q75" s="482">
        <v>10856.17</v>
      </c>
      <c r="R75" s="412">
        <f t="shared" si="20"/>
        <v>59408.509999999995</v>
      </c>
      <c r="S75" s="456">
        <f t="shared" si="21"/>
        <v>9901.4183333333331</v>
      </c>
      <c r="U75" s="9">
        <f t="shared" si="22"/>
        <v>0</v>
      </c>
      <c r="V75" s="9">
        <f t="shared" si="22"/>
        <v>0</v>
      </c>
      <c r="W75" s="9">
        <f t="shared" si="22"/>
        <v>108</v>
      </c>
      <c r="X75" s="9">
        <f t="shared" si="22"/>
        <v>0</v>
      </c>
      <c r="Y75" s="9">
        <f t="shared" si="22"/>
        <v>0</v>
      </c>
      <c r="Z75" s="9">
        <f t="shared" si="22"/>
        <v>0</v>
      </c>
      <c r="AA75" s="9">
        <f t="shared" si="22"/>
        <v>0</v>
      </c>
      <c r="AB75" s="9">
        <f t="shared" si="22"/>
        <v>0</v>
      </c>
      <c r="AC75" s="9">
        <f t="shared" si="22"/>
        <v>0</v>
      </c>
      <c r="AD75" s="9">
        <f t="shared" si="22"/>
        <v>0</v>
      </c>
      <c r="AE75" s="9">
        <f t="shared" si="22"/>
        <v>0</v>
      </c>
      <c r="AF75" s="9">
        <f t="shared" si="22"/>
        <v>0</v>
      </c>
      <c r="AG75" s="9">
        <f t="shared" si="22"/>
        <v>0</v>
      </c>
      <c r="AH75" s="9">
        <f t="shared" si="22"/>
        <v>0</v>
      </c>
      <c r="AI75" s="9">
        <f t="shared" si="22"/>
        <v>0</v>
      </c>
      <c r="AJ75" s="365">
        <f t="shared" si="18"/>
        <v>108</v>
      </c>
      <c r="AK75" s="460">
        <f t="shared" si="19"/>
        <v>0</v>
      </c>
    </row>
    <row r="76" spans="1:37" ht="14">
      <c r="A76" s="402" t="s">
        <v>658</v>
      </c>
      <c r="B76" s="440">
        <v>15051247</v>
      </c>
      <c r="C76" s="440">
        <v>117</v>
      </c>
      <c r="D76" s="402" t="s">
        <v>480</v>
      </c>
      <c r="E76" s="402" t="s">
        <v>480</v>
      </c>
      <c r="F76" s="483">
        <v>16652.97</v>
      </c>
      <c r="G76" s="528">
        <v>14352.49</v>
      </c>
      <c r="H76" s="530">
        <v>15530.12</v>
      </c>
      <c r="I76" s="533">
        <v>18730.13</v>
      </c>
      <c r="J76" s="536">
        <v>15829.5</v>
      </c>
      <c r="K76" s="537">
        <v>11400.54</v>
      </c>
      <c r="L76" s="501">
        <v>12062.46</v>
      </c>
      <c r="M76" s="543">
        <v>11158.78</v>
      </c>
      <c r="N76" s="530">
        <v>14631.33</v>
      </c>
      <c r="O76" s="546">
        <v>13860.92</v>
      </c>
      <c r="P76" s="549">
        <v>12727.97</v>
      </c>
      <c r="Q76" s="482">
        <v>12370.24</v>
      </c>
      <c r="R76" s="412">
        <f t="shared" si="20"/>
        <v>76811.7</v>
      </c>
      <c r="S76" s="456">
        <f t="shared" si="21"/>
        <v>12801.949999999999</v>
      </c>
      <c r="U76" s="9">
        <f t="shared" si="22"/>
        <v>0</v>
      </c>
      <c r="V76" s="9">
        <f t="shared" si="22"/>
        <v>0</v>
      </c>
      <c r="W76" s="9">
        <f t="shared" si="22"/>
        <v>0</v>
      </c>
      <c r="X76" s="9">
        <f t="shared" si="22"/>
        <v>0</v>
      </c>
      <c r="Y76" s="9">
        <f t="shared" si="22"/>
        <v>0</v>
      </c>
      <c r="Z76" s="9">
        <f t="shared" si="22"/>
        <v>0</v>
      </c>
      <c r="AA76" s="9">
        <f t="shared" si="22"/>
        <v>0</v>
      </c>
      <c r="AB76" s="9">
        <f t="shared" si="22"/>
        <v>0</v>
      </c>
      <c r="AC76" s="9">
        <f t="shared" si="22"/>
        <v>117</v>
      </c>
      <c r="AD76" s="9">
        <f t="shared" si="22"/>
        <v>0</v>
      </c>
      <c r="AE76" s="9">
        <f t="shared" si="22"/>
        <v>0</v>
      </c>
      <c r="AF76" s="9">
        <f t="shared" si="22"/>
        <v>0</v>
      </c>
      <c r="AG76" s="9">
        <f t="shared" si="22"/>
        <v>0</v>
      </c>
      <c r="AH76" s="9">
        <f t="shared" si="22"/>
        <v>0</v>
      </c>
      <c r="AI76" s="9">
        <f t="shared" si="22"/>
        <v>0</v>
      </c>
      <c r="AJ76" s="365">
        <f t="shared" si="18"/>
        <v>117</v>
      </c>
      <c r="AK76" s="460">
        <f t="shared" si="19"/>
        <v>0</v>
      </c>
    </row>
    <row r="77" spans="1:37" ht="14">
      <c r="A77" s="402" t="s">
        <v>530</v>
      </c>
      <c r="B77" s="403">
        <v>15051245</v>
      </c>
      <c r="C77" s="403">
        <v>91</v>
      </c>
      <c r="D77" s="402" t="s">
        <v>630</v>
      </c>
      <c r="E77" s="402" t="s">
        <v>630</v>
      </c>
      <c r="F77" s="483">
        <v>26811.89</v>
      </c>
      <c r="G77" s="528">
        <v>26651.75</v>
      </c>
      <c r="H77" s="530">
        <v>26536.41</v>
      </c>
      <c r="I77" s="533">
        <v>29911.93</v>
      </c>
      <c r="J77" s="536">
        <v>29265.33</v>
      </c>
      <c r="K77" s="537">
        <v>20778.68</v>
      </c>
      <c r="L77" s="501">
        <v>20121.63</v>
      </c>
      <c r="M77" s="543">
        <v>17555.650000000001</v>
      </c>
      <c r="N77" s="530">
        <v>26160.79</v>
      </c>
      <c r="O77" s="546">
        <v>26512.63</v>
      </c>
      <c r="P77" s="549">
        <v>21250.89</v>
      </c>
      <c r="Q77" s="482">
        <v>23972.15</v>
      </c>
      <c r="R77" s="412">
        <f t="shared" si="20"/>
        <v>135573.74</v>
      </c>
      <c r="S77" s="456">
        <f t="shared" si="21"/>
        <v>22595.623333333333</v>
      </c>
      <c r="T77" s="456">
        <f>+R77/8.5*2</f>
        <v>31899.703529411763</v>
      </c>
      <c r="U77" s="9">
        <f t="shared" si="22"/>
        <v>0</v>
      </c>
      <c r="V77" s="9">
        <f t="shared" si="22"/>
        <v>0</v>
      </c>
      <c r="W77" s="9">
        <f t="shared" si="22"/>
        <v>0</v>
      </c>
      <c r="X77" s="9">
        <f t="shared" si="22"/>
        <v>0</v>
      </c>
      <c r="Y77" s="9">
        <f t="shared" si="22"/>
        <v>0</v>
      </c>
      <c r="Z77" s="9">
        <f t="shared" si="22"/>
        <v>91</v>
      </c>
      <c r="AA77" s="9">
        <f t="shared" si="22"/>
        <v>0</v>
      </c>
      <c r="AB77" s="9">
        <f t="shared" si="22"/>
        <v>0</v>
      </c>
      <c r="AC77" s="9">
        <f t="shared" si="22"/>
        <v>0</v>
      </c>
      <c r="AD77" s="9">
        <f t="shared" si="22"/>
        <v>0</v>
      </c>
      <c r="AE77" s="9">
        <f t="shared" si="22"/>
        <v>0</v>
      </c>
      <c r="AF77" s="9">
        <f t="shared" si="22"/>
        <v>0</v>
      </c>
      <c r="AG77" s="9">
        <f t="shared" si="22"/>
        <v>0</v>
      </c>
      <c r="AH77" s="9">
        <f t="shared" si="22"/>
        <v>0</v>
      </c>
      <c r="AI77" s="9">
        <f t="shared" si="22"/>
        <v>0</v>
      </c>
      <c r="AJ77" s="365">
        <f t="shared" si="18"/>
        <v>91</v>
      </c>
      <c r="AK77" s="460">
        <f t="shared" si="19"/>
        <v>0</v>
      </c>
    </row>
    <row r="78" spans="1:37" ht="14">
      <c r="A78" s="402" t="s">
        <v>535</v>
      </c>
      <c r="B78" s="403">
        <v>15072632</v>
      </c>
      <c r="C78" s="403">
        <v>80</v>
      </c>
      <c r="D78" s="402" t="s">
        <v>631</v>
      </c>
      <c r="E78" s="402" t="s">
        <v>975</v>
      </c>
      <c r="F78" s="530">
        <v>22634.97</v>
      </c>
      <c r="G78" s="528">
        <v>20780.349999999999</v>
      </c>
      <c r="H78" s="530">
        <v>21241.98</v>
      </c>
      <c r="I78" s="533">
        <v>25463.08</v>
      </c>
      <c r="J78" s="536">
        <v>20105.95</v>
      </c>
      <c r="K78" s="537">
        <v>6031.43</v>
      </c>
      <c r="L78" s="501">
        <v>11932.96</v>
      </c>
      <c r="M78" s="543">
        <v>11822.65</v>
      </c>
      <c r="N78" s="546">
        <v>19617.71</v>
      </c>
      <c r="O78" s="546">
        <v>20526.82</v>
      </c>
      <c r="P78" s="549">
        <v>18838</v>
      </c>
      <c r="Q78" s="482">
        <v>18013.34</v>
      </c>
      <c r="R78" s="412">
        <f t="shared" si="20"/>
        <v>100751.48</v>
      </c>
      <c r="S78" s="456">
        <f t="shared" si="21"/>
        <v>16791.913333333334</v>
      </c>
      <c r="U78" s="9">
        <f t="shared" si="22"/>
        <v>0</v>
      </c>
      <c r="V78" s="9">
        <f t="shared" si="22"/>
        <v>0</v>
      </c>
      <c r="W78" s="9">
        <f t="shared" si="22"/>
        <v>0</v>
      </c>
      <c r="X78" s="9">
        <f t="shared" si="22"/>
        <v>0</v>
      </c>
      <c r="Y78" s="9">
        <f t="shared" si="22"/>
        <v>0</v>
      </c>
      <c r="Z78" s="9">
        <f t="shared" si="22"/>
        <v>0</v>
      </c>
      <c r="AA78" s="9">
        <f t="shared" si="22"/>
        <v>0</v>
      </c>
      <c r="AB78" s="9">
        <f t="shared" si="22"/>
        <v>80</v>
      </c>
      <c r="AC78" s="9">
        <f t="shared" si="22"/>
        <v>0</v>
      </c>
      <c r="AD78" s="9">
        <f t="shared" si="22"/>
        <v>0</v>
      </c>
      <c r="AE78" s="9">
        <f t="shared" si="22"/>
        <v>0</v>
      </c>
      <c r="AF78" s="9">
        <f t="shared" si="22"/>
        <v>0</v>
      </c>
      <c r="AG78" s="9">
        <f t="shared" si="22"/>
        <v>0</v>
      </c>
      <c r="AH78" s="9">
        <f t="shared" si="22"/>
        <v>0</v>
      </c>
      <c r="AI78" s="9">
        <f t="shared" si="22"/>
        <v>0</v>
      </c>
      <c r="AJ78" s="365">
        <f t="shared" si="18"/>
        <v>80</v>
      </c>
      <c r="AK78" s="460">
        <f t="shared" si="19"/>
        <v>0</v>
      </c>
    </row>
    <row r="79" spans="1:37" ht="14">
      <c r="A79" s="402" t="s">
        <v>537</v>
      </c>
      <c r="B79" s="403">
        <v>15036831</v>
      </c>
      <c r="C79" s="403">
        <v>104</v>
      </c>
      <c r="D79" s="402" t="s">
        <v>364</v>
      </c>
      <c r="E79" s="402" t="s">
        <v>364</v>
      </c>
      <c r="F79" s="483">
        <v>28323.279999999999</v>
      </c>
      <c r="G79" s="528">
        <v>28323.279999999999</v>
      </c>
      <c r="H79" s="530">
        <v>28456.09</v>
      </c>
      <c r="I79" s="533">
        <v>28519.919999999998</v>
      </c>
      <c r="J79" s="536">
        <v>29992.95</v>
      </c>
      <c r="K79" s="537">
        <v>19613.650000000001</v>
      </c>
      <c r="L79" s="501">
        <v>19404.47</v>
      </c>
      <c r="M79" s="543">
        <v>21025.040000000001</v>
      </c>
      <c r="N79" s="530">
        <v>25884.52</v>
      </c>
      <c r="O79" s="546">
        <v>34764.6</v>
      </c>
      <c r="P79" s="549">
        <v>26659.19</v>
      </c>
      <c r="Q79" s="482">
        <v>27137.52</v>
      </c>
      <c r="R79" s="412">
        <f t="shared" si="20"/>
        <v>154875.34</v>
      </c>
      <c r="S79" s="456">
        <f t="shared" si="21"/>
        <v>25812.556666666667</v>
      </c>
      <c r="U79" s="9">
        <f t="shared" si="22"/>
        <v>0</v>
      </c>
      <c r="V79" s="9">
        <f t="shared" si="22"/>
        <v>104</v>
      </c>
      <c r="W79" s="9">
        <f t="shared" si="22"/>
        <v>0</v>
      </c>
      <c r="X79" s="9">
        <f t="shared" si="22"/>
        <v>0</v>
      </c>
      <c r="Y79" s="9">
        <f t="shared" si="22"/>
        <v>0</v>
      </c>
      <c r="Z79" s="9">
        <f t="shared" si="22"/>
        <v>0</v>
      </c>
      <c r="AA79" s="9">
        <f t="shared" si="22"/>
        <v>0</v>
      </c>
      <c r="AB79" s="9">
        <f t="shared" si="22"/>
        <v>0</v>
      </c>
      <c r="AC79" s="9">
        <f t="shared" si="22"/>
        <v>0</v>
      </c>
      <c r="AD79" s="9">
        <f t="shared" si="22"/>
        <v>0</v>
      </c>
      <c r="AE79" s="9">
        <f t="shared" si="22"/>
        <v>0</v>
      </c>
      <c r="AF79" s="9">
        <f t="shared" si="22"/>
        <v>0</v>
      </c>
      <c r="AG79" s="9">
        <f t="shared" si="22"/>
        <v>0</v>
      </c>
      <c r="AH79" s="9">
        <f t="shared" si="22"/>
        <v>0</v>
      </c>
      <c r="AI79" s="9">
        <f t="shared" si="22"/>
        <v>0</v>
      </c>
      <c r="AJ79" s="365">
        <f t="shared" si="18"/>
        <v>104</v>
      </c>
      <c r="AK79" s="460">
        <f t="shared" si="19"/>
        <v>0</v>
      </c>
    </row>
    <row r="80" spans="1:37" ht="14">
      <c r="A80" s="402" t="s">
        <v>705</v>
      </c>
      <c r="B80" s="403">
        <v>15080924</v>
      </c>
      <c r="C80" s="403"/>
      <c r="D80" s="402"/>
      <c r="E80" s="402" t="s">
        <v>1020</v>
      </c>
      <c r="F80" s="483"/>
      <c r="G80" s="528"/>
      <c r="H80" s="530"/>
      <c r="I80" s="533"/>
      <c r="J80" s="536"/>
      <c r="K80" s="537"/>
      <c r="L80" s="501"/>
      <c r="M80" s="543"/>
      <c r="N80" s="530"/>
      <c r="O80" s="546"/>
      <c r="P80" s="549">
        <v>1643.94</v>
      </c>
      <c r="Q80" s="482">
        <v>2101.1</v>
      </c>
      <c r="R80" s="412">
        <f t="shared" si="20"/>
        <v>3745.04</v>
      </c>
      <c r="S80" s="456">
        <f t="shared" si="21"/>
        <v>624.17333333333329</v>
      </c>
      <c r="U80" s="9">
        <f t="shared" si="22"/>
        <v>0</v>
      </c>
      <c r="V80" s="9">
        <f t="shared" si="22"/>
        <v>0</v>
      </c>
      <c r="W80" s="9">
        <f t="shared" si="22"/>
        <v>0</v>
      </c>
      <c r="X80" s="9">
        <f t="shared" si="22"/>
        <v>0</v>
      </c>
      <c r="Y80" s="9">
        <f t="shared" si="22"/>
        <v>0</v>
      </c>
      <c r="Z80" s="9">
        <f t="shared" si="22"/>
        <v>0</v>
      </c>
      <c r="AA80" s="9">
        <f t="shared" si="22"/>
        <v>0</v>
      </c>
      <c r="AB80" s="9">
        <f t="shared" si="22"/>
        <v>0</v>
      </c>
      <c r="AC80" s="9">
        <f t="shared" si="22"/>
        <v>0</v>
      </c>
      <c r="AD80" s="9">
        <f t="shared" si="22"/>
        <v>0</v>
      </c>
      <c r="AE80" s="9">
        <f t="shared" si="22"/>
        <v>0</v>
      </c>
      <c r="AF80" s="9">
        <f t="shared" si="22"/>
        <v>0</v>
      </c>
      <c r="AG80" s="9">
        <f t="shared" si="22"/>
        <v>0</v>
      </c>
      <c r="AH80" s="9">
        <f t="shared" si="22"/>
        <v>0</v>
      </c>
      <c r="AI80" s="9">
        <f t="shared" si="22"/>
        <v>0</v>
      </c>
      <c r="AJ80" s="365">
        <f t="shared" si="18"/>
        <v>0</v>
      </c>
      <c r="AK80" s="460"/>
    </row>
    <row r="81" spans="1:37" ht="14">
      <c r="A81" s="402" t="s">
        <v>530</v>
      </c>
      <c r="B81" s="404">
        <v>15059439</v>
      </c>
      <c r="C81" s="404">
        <v>105</v>
      </c>
      <c r="D81" s="405" t="s">
        <v>843</v>
      </c>
      <c r="E81" s="405" t="s">
        <v>280</v>
      </c>
      <c r="F81" s="483">
        <v>10715.68</v>
      </c>
      <c r="G81" s="528">
        <v>6795.46</v>
      </c>
      <c r="H81" s="530">
        <v>11599.2</v>
      </c>
      <c r="I81" s="533">
        <v>16128.99</v>
      </c>
      <c r="J81" s="536">
        <v>10220.94</v>
      </c>
      <c r="K81" s="537">
        <v>4749.8599999999997</v>
      </c>
      <c r="L81" s="501">
        <v>3517.24</v>
      </c>
      <c r="M81" s="543">
        <v>3671.61</v>
      </c>
      <c r="N81" s="530">
        <v>9180.16</v>
      </c>
      <c r="O81" s="546">
        <v>12338.62</v>
      </c>
      <c r="P81" s="549">
        <v>10147.48</v>
      </c>
      <c r="Q81" s="482">
        <v>11534.14</v>
      </c>
      <c r="R81" s="412">
        <f t="shared" si="20"/>
        <v>50389.25</v>
      </c>
      <c r="S81" s="456">
        <f t="shared" si="21"/>
        <v>8398.2083333333339</v>
      </c>
      <c r="U81" s="9">
        <f t="shared" si="22"/>
        <v>0</v>
      </c>
      <c r="V81" s="9">
        <f t="shared" si="22"/>
        <v>0</v>
      </c>
      <c r="W81" s="9">
        <f t="shared" si="22"/>
        <v>0</v>
      </c>
      <c r="X81" s="9">
        <f t="shared" si="22"/>
        <v>0</v>
      </c>
      <c r="Y81" s="9">
        <f t="shared" si="22"/>
        <v>0</v>
      </c>
      <c r="Z81" s="9">
        <f t="shared" si="22"/>
        <v>105</v>
      </c>
      <c r="AA81" s="9">
        <f t="shared" si="22"/>
        <v>0</v>
      </c>
      <c r="AB81" s="9">
        <f t="shared" si="22"/>
        <v>0</v>
      </c>
      <c r="AC81" s="9">
        <f t="shared" si="22"/>
        <v>0</v>
      </c>
      <c r="AD81" s="9">
        <f t="shared" si="22"/>
        <v>0</v>
      </c>
      <c r="AE81" s="9">
        <f t="shared" si="22"/>
        <v>0</v>
      </c>
      <c r="AF81" s="9">
        <f t="shared" si="22"/>
        <v>0</v>
      </c>
      <c r="AG81" s="9">
        <f t="shared" si="22"/>
        <v>0</v>
      </c>
      <c r="AH81" s="9">
        <f t="shared" si="22"/>
        <v>0</v>
      </c>
      <c r="AI81" s="9">
        <f t="shared" si="22"/>
        <v>0</v>
      </c>
      <c r="AJ81" s="365">
        <f t="shared" si="18"/>
        <v>105</v>
      </c>
      <c r="AK81" s="460">
        <f t="shared" si="19"/>
        <v>0</v>
      </c>
    </row>
    <row r="82" spans="1:37" ht="14">
      <c r="A82" s="402" t="s">
        <v>661</v>
      </c>
      <c r="B82" s="403">
        <v>15062798</v>
      </c>
      <c r="C82" s="403">
        <v>29</v>
      </c>
      <c r="D82" s="402" t="s">
        <v>281</v>
      </c>
      <c r="E82" s="402" t="s">
        <v>281</v>
      </c>
      <c r="F82" s="483">
        <v>2340.2199999999998</v>
      </c>
      <c r="G82" s="482"/>
      <c r="H82" s="530">
        <v>2346.17</v>
      </c>
      <c r="I82" s="533">
        <v>2282.25</v>
      </c>
      <c r="J82" s="536">
        <v>2316.59</v>
      </c>
      <c r="K82" s="537">
        <v>2230.66</v>
      </c>
      <c r="L82" s="482"/>
      <c r="M82" s="543">
        <v>1999.97</v>
      </c>
      <c r="N82" s="482"/>
      <c r="O82" s="482"/>
      <c r="P82" s="549">
        <v>1942.85</v>
      </c>
      <c r="Q82" s="482"/>
      <c r="R82" s="412">
        <f t="shared" si="20"/>
        <v>3942.8199999999997</v>
      </c>
      <c r="S82" s="456">
        <f t="shared" si="21"/>
        <v>657.13666666666666</v>
      </c>
      <c r="U82" s="9">
        <f t="shared" si="22"/>
        <v>0</v>
      </c>
      <c r="V82" s="9">
        <f t="shared" si="22"/>
        <v>0</v>
      </c>
      <c r="W82" s="9">
        <f t="shared" si="22"/>
        <v>0</v>
      </c>
      <c r="X82" s="9">
        <f t="shared" si="22"/>
        <v>0</v>
      </c>
      <c r="Y82" s="9">
        <f t="shared" si="22"/>
        <v>0</v>
      </c>
      <c r="Z82" s="9">
        <f t="shared" si="22"/>
        <v>0</v>
      </c>
      <c r="AA82" s="9">
        <f t="shared" si="22"/>
        <v>0</v>
      </c>
      <c r="AB82" s="9">
        <f t="shared" si="22"/>
        <v>0</v>
      </c>
      <c r="AC82" s="9">
        <f t="shared" si="22"/>
        <v>0</v>
      </c>
      <c r="AD82" s="9">
        <f t="shared" si="22"/>
        <v>0</v>
      </c>
      <c r="AE82" s="9">
        <f t="shared" si="22"/>
        <v>0</v>
      </c>
      <c r="AF82" s="9">
        <f t="shared" si="22"/>
        <v>0</v>
      </c>
      <c r="AG82" s="9">
        <f t="shared" si="22"/>
        <v>29</v>
      </c>
      <c r="AH82" s="9">
        <f t="shared" si="22"/>
        <v>0</v>
      </c>
      <c r="AI82" s="9">
        <f t="shared" si="22"/>
        <v>0</v>
      </c>
      <c r="AJ82" s="365">
        <f t="shared" si="18"/>
        <v>29</v>
      </c>
      <c r="AK82" s="460">
        <f t="shared" si="19"/>
        <v>0</v>
      </c>
    </row>
    <row r="83" spans="1:37" ht="14">
      <c r="A83" s="402" t="s">
        <v>660</v>
      </c>
      <c r="B83" s="403">
        <v>15051246</v>
      </c>
      <c r="C83" s="403">
        <v>108</v>
      </c>
      <c r="D83" s="402" t="s">
        <v>91</v>
      </c>
      <c r="E83" s="402" t="s">
        <v>91</v>
      </c>
      <c r="F83" s="483">
        <v>30577.99</v>
      </c>
      <c r="G83" s="528">
        <v>29743.97</v>
      </c>
      <c r="H83" s="530">
        <v>31864.04</v>
      </c>
      <c r="I83" s="533">
        <v>40315.42</v>
      </c>
      <c r="J83" s="536">
        <v>35533.910000000003</v>
      </c>
      <c r="K83" s="537">
        <v>18276.189999999999</v>
      </c>
      <c r="L83" s="501">
        <v>21496.67</v>
      </c>
      <c r="M83" s="543">
        <v>20433.919999999998</v>
      </c>
      <c r="N83" s="530">
        <v>28756.86</v>
      </c>
      <c r="O83" s="546">
        <v>32637.85</v>
      </c>
      <c r="P83" s="549">
        <v>30039.23</v>
      </c>
      <c r="Q83" s="482">
        <v>29864.07</v>
      </c>
      <c r="R83" s="412">
        <f t="shared" si="20"/>
        <v>163228.6</v>
      </c>
      <c r="S83" s="456">
        <f t="shared" si="21"/>
        <v>27204.766666666666</v>
      </c>
      <c r="U83" s="9">
        <f t="shared" si="22"/>
        <v>0</v>
      </c>
      <c r="V83" s="9">
        <f t="shared" si="22"/>
        <v>0</v>
      </c>
      <c r="W83" s="9">
        <f t="shared" si="22"/>
        <v>0</v>
      </c>
      <c r="X83" s="9">
        <f t="shared" si="22"/>
        <v>0</v>
      </c>
      <c r="Y83" s="9">
        <f t="shared" si="22"/>
        <v>0</v>
      </c>
      <c r="Z83" s="9">
        <f t="shared" si="22"/>
        <v>0</v>
      </c>
      <c r="AA83" s="9">
        <f t="shared" si="22"/>
        <v>0</v>
      </c>
      <c r="AB83" s="9">
        <f t="shared" si="22"/>
        <v>0</v>
      </c>
      <c r="AC83" s="9">
        <f t="shared" si="22"/>
        <v>0</v>
      </c>
      <c r="AD83" s="9">
        <f t="shared" si="22"/>
        <v>0</v>
      </c>
      <c r="AE83" s="9">
        <f t="shared" si="22"/>
        <v>0</v>
      </c>
      <c r="AF83" s="9">
        <f t="shared" si="22"/>
        <v>0</v>
      </c>
      <c r="AG83" s="9">
        <f t="shared" si="22"/>
        <v>108</v>
      </c>
      <c r="AH83" s="9">
        <f t="shared" si="22"/>
        <v>0</v>
      </c>
      <c r="AI83" s="9">
        <f t="shared" si="22"/>
        <v>0</v>
      </c>
      <c r="AJ83" s="365">
        <f t="shared" si="18"/>
        <v>108</v>
      </c>
      <c r="AK83" s="460">
        <f t="shared" si="19"/>
        <v>0</v>
      </c>
    </row>
    <row r="84" spans="1:37" ht="14">
      <c r="A84" s="402" t="s">
        <v>704</v>
      </c>
      <c r="B84" s="403">
        <v>15032636</v>
      </c>
      <c r="C84" s="403">
        <v>107</v>
      </c>
      <c r="D84" s="402" t="s">
        <v>624</v>
      </c>
      <c r="E84" s="402" t="s">
        <v>574</v>
      </c>
      <c r="F84" s="483">
        <v>28522.99</v>
      </c>
      <c r="G84" s="528">
        <v>27551.95</v>
      </c>
      <c r="H84" s="530">
        <v>28309.31</v>
      </c>
      <c r="I84" s="533">
        <v>32033.13</v>
      </c>
      <c r="J84" s="536">
        <v>25840.51</v>
      </c>
      <c r="K84" s="537">
        <v>18560.25</v>
      </c>
      <c r="L84" s="501">
        <v>18053.22</v>
      </c>
      <c r="M84" s="543">
        <v>15240.24</v>
      </c>
      <c r="N84" s="530">
        <v>18386.63</v>
      </c>
      <c r="O84" s="546">
        <v>25710.14</v>
      </c>
      <c r="P84" s="549">
        <v>24830.6</v>
      </c>
      <c r="Q84" s="482">
        <v>22980.84</v>
      </c>
      <c r="R84" s="412">
        <f t="shared" si="20"/>
        <v>125201.66999999998</v>
      </c>
      <c r="S84" s="456">
        <f t="shared" si="21"/>
        <v>20866.944999999996</v>
      </c>
      <c r="U84" s="9">
        <f t="shared" si="22"/>
        <v>0</v>
      </c>
      <c r="V84" s="9">
        <f t="shared" si="22"/>
        <v>0</v>
      </c>
      <c r="W84" s="9">
        <f t="shared" si="22"/>
        <v>0</v>
      </c>
      <c r="X84" s="9">
        <f t="shared" si="22"/>
        <v>0</v>
      </c>
      <c r="Y84" s="9">
        <f t="shared" si="22"/>
        <v>0</v>
      </c>
      <c r="Z84" s="9">
        <f t="shared" si="22"/>
        <v>0</v>
      </c>
      <c r="AA84" s="9">
        <f t="shared" si="22"/>
        <v>0</v>
      </c>
      <c r="AB84" s="9">
        <f t="shared" si="22"/>
        <v>0</v>
      </c>
      <c r="AC84" s="9">
        <f t="shared" si="22"/>
        <v>0</v>
      </c>
      <c r="AD84" s="9">
        <f t="shared" si="22"/>
        <v>0</v>
      </c>
      <c r="AE84" s="9">
        <f t="shared" si="22"/>
        <v>0</v>
      </c>
      <c r="AF84" s="9">
        <f t="shared" si="22"/>
        <v>0</v>
      </c>
      <c r="AG84" s="9">
        <f t="shared" si="22"/>
        <v>0</v>
      </c>
      <c r="AH84" s="9">
        <f t="shared" si="22"/>
        <v>0</v>
      </c>
      <c r="AI84" s="9">
        <f t="shared" si="22"/>
        <v>107</v>
      </c>
      <c r="AJ84" s="365">
        <f t="shared" si="18"/>
        <v>107</v>
      </c>
      <c r="AK84" s="460">
        <f t="shared" si="19"/>
        <v>0</v>
      </c>
    </row>
    <row r="85" spans="1:37" ht="14">
      <c r="A85" s="402" t="s">
        <v>658</v>
      </c>
      <c r="B85" s="403">
        <v>15078169</v>
      </c>
      <c r="C85" s="403">
        <v>117</v>
      </c>
      <c r="D85" s="402" t="s">
        <v>574</v>
      </c>
      <c r="E85" s="402" t="s">
        <v>574</v>
      </c>
      <c r="F85" s="483">
        <v>20687.77</v>
      </c>
      <c r="G85" s="528">
        <v>20171.52</v>
      </c>
      <c r="H85" s="530">
        <v>25941.97</v>
      </c>
      <c r="I85" s="533">
        <v>34541.75</v>
      </c>
      <c r="J85" s="536">
        <f>13901.09+17917.72</f>
        <v>31818.81</v>
      </c>
      <c r="K85" s="537">
        <v>17621.7</v>
      </c>
      <c r="L85" s="501">
        <v>23104.77</v>
      </c>
      <c r="M85" s="543">
        <v>22643.360000000001</v>
      </c>
      <c r="N85" s="530">
        <v>30957.41</v>
      </c>
      <c r="O85" s="546">
        <v>27779.15</v>
      </c>
      <c r="P85" s="549">
        <v>25025.46</v>
      </c>
      <c r="Q85" s="482">
        <v>24208.43</v>
      </c>
      <c r="R85" s="412">
        <f t="shared" si="20"/>
        <v>153718.57999999999</v>
      </c>
      <c r="S85" s="456">
        <f t="shared" si="21"/>
        <v>25619.763333333332</v>
      </c>
      <c r="U85" s="9">
        <f t="shared" si="22"/>
        <v>0</v>
      </c>
      <c r="V85" s="9">
        <f t="shared" si="22"/>
        <v>0</v>
      </c>
      <c r="W85" s="9">
        <f t="shared" si="22"/>
        <v>0</v>
      </c>
      <c r="X85" s="9">
        <f t="shared" si="22"/>
        <v>0</v>
      </c>
      <c r="Y85" s="9">
        <f t="shared" si="22"/>
        <v>0</v>
      </c>
      <c r="Z85" s="9">
        <f t="shared" si="22"/>
        <v>0</v>
      </c>
      <c r="AA85" s="9">
        <f t="shared" si="22"/>
        <v>0</v>
      </c>
      <c r="AB85" s="9">
        <f t="shared" si="22"/>
        <v>0</v>
      </c>
      <c r="AC85" s="9">
        <f t="shared" si="22"/>
        <v>117</v>
      </c>
      <c r="AD85" s="9">
        <f t="shared" si="22"/>
        <v>0</v>
      </c>
      <c r="AE85" s="9">
        <f t="shared" si="22"/>
        <v>0</v>
      </c>
      <c r="AF85" s="9">
        <f t="shared" si="22"/>
        <v>0</v>
      </c>
      <c r="AG85" s="9">
        <f t="shared" si="22"/>
        <v>0</v>
      </c>
      <c r="AH85" s="9">
        <f t="shared" si="22"/>
        <v>0</v>
      </c>
      <c r="AI85" s="9">
        <f t="shared" si="22"/>
        <v>0</v>
      </c>
      <c r="AJ85" s="365">
        <f>+SUM(U85:AI85)</f>
        <v>117</v>
      </c>
      <c r="AK85" s="460">
        <f t="shared" si="19"/>
        <v>0</v>
      </c>
    </row>
    <row r="86" spans="1:37" ht="14">
      <c r="A86" s="402" t="s">
        <v>705</v>
      </c>
      <c r="B86" s="403">
        <v>7004900</v>
      </c>
      <c r="C86" s="403">
        <v>25</v>
      </c>
      <c r="D86" s="402" t="s">
        <v>393</v>
      </c>
      <c r="E86" s="402" t="s">
        <v>393</v>
      </c>
      <c r="F86" s="483">
        <v>443.28</v>
      </c>
      <c r="G86" s="528">
        <v>473.45</v>
      </c>
      <c r="H86" s="530">
        <v>442.43</v>
      </c>
      <c r="I86" s="533">
        <v>416.93</v>
      </c>
      <c r="J86" s="536">
        <v>451.78</v>
      </c>
      <c r="K86" s="537">
        <v>402.9</v>
      </c>
      <c r="L86" s="501">
        <v>368.05</v>
      </c>
      <c r="M86" s="543">
        <v>396.95</v>
      </c>
      <c r="N86" s="530">
        <v>380.8</v>
      </c>
      <c r="O86" s="546">
        <v>391.85</v>
      </c>
      <c r="P86" s="549">
        <v>361.25</v>
      </c>
      <c r="Q86" s="482">
        <v>379.95</v>
      </c>
      <c r="R86" s="412">
        <f t="shared" si="20"/>
        <v>2278.85</v>
      </c>
      <c r="S86" s="456">
        <f t="shared" si="21"/>
        <v>379.80833333333334</v>
      </c>
      <c r="U86" s="9">
        <f t="shared" si="22"/>
        <v>0</v>
      </c>
      <c r="V86" s="9">
        <f t="shared" si="22"/>
        <v>0</v>
      </c>
      <c r="W86" s="9">
        <f t="shared" si="22"/>
        <v>0</v>
      </c>
      <c r="X86" s="9">
        <f t="shared" si="22"/>
        <v>0</v>
      </c>
      <c r="Y86" s="9">
        <f t="shared" si="22"/>
        <v>0</v>
      </c>
      <c r="Z86" s="9">
        <f t="shared" si="22"/>
        <v>0</v>
      </c>
      <c r="AA86" s="9">
        <f t="shared" si="22"/>
        <v>0</v>
      </c>
      <c r="AB86" s="9">
        <f t="shared" si="22"/>
        <v>0</v>
      </c>
      <c r="AC86" s="9">
        <f t="shared" si="22"/>
        <v>0</v>
      </c>
      <c r="AD86" s="9">
        <f t="shared" si="22"/>
        <v>0</v>
      </c>
      <c r="AE86" s="9">
        <f t="shared" si="22"/>
        <v>0</v>
      </c>
      <c r="AF86" s="9">
        <f t="shared" si="22"/>
        <v>0</v>
      </c>
      <c r="AG86" s="9">
        <f t="shared" si="22"/>
        <v>0</v>
      </c>
      <c r="AH86" s="9">
        <f t="shared" si="22"/>
        <v>0</v>
      </c>
      <c r="AI86" s="9">
        <f t="shared" si="22"/>
        <v>25</v>
      </c>
      <c r="AJ86" s="365">
        <f t="shared" si="18"/>
        <v>25</v>
      </c>
      <c r="AK86" s="460">
        <f t="shared" si="19"/>
        <v>0</v>
      </c>
    </row>
    <row r="87" spans="1:37" ht="14">
      <c r="A87" s="402" t="s">
        <v>659</v>
      </c>
      <c r="B87" s="403">
        <v>15054341</v>
      </c>
      <c r="C87" s="403">
        <v>62</v>
      </c>
      <c r="D87" s="402" t="s">
        <v>669</v>
      </c>
      <c r="E87" s="402" t="s">
        <v>502</v>
      </c>
      <c r="F87" s="483">
        <v>7946.25</v>
      </c>
      <c r="G87" s="528">
        <v>5834.34</v>
      </c>
      <c r="H87" s="530">
        <v>6903.34</v>
      </c>
      <c r="I87" s="533">
        <v>7928.19</v>
      </c>
      <c r="J87" s="536">
        <v>6489.66</v>
      </c>
      <c r="K87" s="537">
        <v>5717.49</v>
      </c>
      <c r="L87" s="501">
        <v>3371.33</v>
      </c>
      <c r="M87" s="543">
        <v>3005.59</v>
      </c>
      <c r="N87" s="530">
        <v>6555.9</v>
      </c>
      <c r="O87" s="546">
        <v>5655.21</v>
      </c>
      <c r="P87" s="549">
        <v>4948.3900000000003</v>
      </c>
      <c r="Q87" s="482">
        <v>5214.3900000000003</v>
      </c>
      <c r="R87" s="412">
        <f t="shared" si="20"/>
        <v>28750.809999999998</v>
      </c>
      <c r="S87" s="456">
        <f t="shared" si="21"/>
        <v>4791.8016666666663</v>
      </c>
      <c r="U87" s="9">
        <f t="shared" ref="U87:AI98" si="23">+IF($A87=U$3,$C87,0)</f>
        <v>0</v>
      </c>
      <c r="V87" s="9">
        <f t="shared" si="23"/>
        <v>0</v>
      </c>
      <c r="W87" s="9">
        <f t="shared" si="23"/>
        <v>0</v>
      </c>
      <c r="X87" s="9">
        <f t="shared" si="23"/>
        <v>0</v>
      </c>
      <c r="Y87" s="9">
        <f t="shared" si="23"/>
        <v>0</v>
      </c>
      <c r="Z87" s="9">
        <f t="shared" si="23"/>
        <v>0</v>
      </c>
      <c r="AA87" s="9">
        <f t="shared" si="23"/>
        <v>0</v>
      </c>
      <c r="AB87" s="9">
        <f t="shared" si="23"/>
        <v>0</v>
      </c>
      <c r="AC87" s="9">
        <f t="shared" si="23"/>
        <v>0</v>
      </c>
      <c r="AD87" s="9">
        <f t="shared" si="23"/>
        <v>0</v>
      </c>
      <c r="AE87" s="9">
        <f t="shared" si="23"/>
        <v>0</v>
      </c>
      <c r="AF87" s="9">
        <f t="shared" si="23"/>
        <v>62</v>
      </c>
      <c r="AG87" s="9">
        <f t="shared" si="23"/>
        <v>0</v>
      </c>
      <c r="AH87" s="9">
        <f t="shared" si="23"/>
        <v>0</v>
      </c>
      <c r="AI87" s="9">
        <f t="shared" si="23"/>
        <v>0</v>
      </c>
      <c r="AJ87" s="365">
        <f t="shared" si="18"/>
        <v>62</v>
      </c>
      <c r="AK87" s="460">
        <f t="shared" si="19"/>
        <v>0</v>
      </c>
    </row>
    <row r="88" spans="1:37" ht="14">
      <c r="A88" s="402" t="s">
        <v>659</v>
      </c>
      <c r="B88" s="403">
        <v>15060725</v>
      </c>
      <c r="C88" s="403">
        <v>110</v>
      </c>
      <c r="D88" s="402" t="s">
        <v>846</v>
      </c>
      <c r="E88" s="402" t="s">
        <v>1018</v>
      </c>
      <c r="F88" s="483">
        <v>10108.280000000001</v>
      </c>
      <c r="G88" s="528">
        <v>9573.74</v>
      </c>
      <c r="H88" s="530">
        <v>11410.57</v>
      </c>
      <c r="I88" s="533">
        <v>11494.76</v>
      </c>
      <c r="J88" s="536">
        <v>11268.09</v>
      </c>
      <c r="K88" s="537">
        <v>8933.94</v>
      </c>
      <c r="L88" s="501">
        <v>6673.08</v>
      </c>
      <c r="M88" s="543">
        <v>6581.05</v>
      </c>
      <c r="N88" s="530">
        <v>9318.3799999999992</v>
      </c>
      <c r="O88" s="546">
        <v>6581.81</v>
      </c>
      <c r="P88" s="549">
        <v>7227.97</v>
      </c>
      <c r="Q88" s="482">
        <v>7929.02</v>
      </c>
      <c r="R88" s="412">
        <f t="shared" si="20"/>
        <v>44311.31</v>
      </c>
      <c r="S88" s="456">
        <f t="shared" si="21"/>
        <v>7385.2183333333332</v>
      </c>
      <c r="U88" s="9">
        <f t="shared" si="23"/>
        <v>0</v>
      </c>
      <c r="V88" s="9">
        <f t="shared" si="23"/>
        <v>0</v>
      </c>
      <c r="W88" s="9">
        <f t="shared" si="23"/>
        <v>0</v>
      </c>
      <c r="X88" s="9">
        <f t="shared" si="23"/>
        <v>0</v>
      </c>
      <c r="Y88" s="9">
        <f t="shared" si="23"/>
        <v>0</v>
      </c>
      <c r="Z88" s="9">
        <f t="shared" si="23"/>
        <v>0</v>
      </c>
      <c r="AA88" s="9">
        <f t="shared" si="23"/>
        <v>0</v>
      </c>
      <c r="AB88" s="9">
        <f t="shared" si="23"/>
        <v>0</v>
      </c>
      <c r="AC88" s="9">
        <f t="shared" si="23"/>
        <v>0</v>
      </c>
      <c r="AD88" s="9">
        <f t="shared" si="23"/>
        <v>0</v>
      </c>
      <c r="AE88" s="9">
        <f t="shared" si="23"/>
        <v>0</v>
      </c>
      <c r="AF88" s="9">
        <f t="shared" si="23"/>
        <v>110</v>
      </c>
      <c r="AG88" s="9">
        <f t="shared" si="23"/>
        <v>0</v>
      </c>
      <c r="AH88" s="9">
        <f t="shared" si="23"/>
        <v>0</v>
      </c>
      <c r="AI88" s="9">
        <f t="shared" si="23"/>
        <v>0</v>
      </c>
      <c r="AJ88" s="365">
        <f t="shared" si="18"/>
        <v>110</v>
      </c>
      <c r="AK88" s="460">
        <f t="shared" si="19"/>
        <v>0</v>
      </c>
    </row>
    <row r="89" spans="1:37" ht="14">
      <c r="A89" s="402" t="s">
        <v>1000</v>
      </c>
      <c r="B89" s="403">
        <v>10576897</v>
      </c>
      <c r="C89" s="403">
        <v>84</v>
      </c>
      <c r="D89" s="402"/>
      <c r="E89" s="402" t="s">
        <v>1023</v>
      </c>
      <c r="F89" s="490"/>
      <c r="G89" s="490"/>
      <c r="H89" s="490"/>
      <c r="I89" s="537">
        <v>353.81</v>
      </c>
      <c r="J89" s="537">
        <v>659.11</v>
      </c>
      <c r="K89" s="537">
        <v>259.25</v>
      </c>
      <c r="L89" s="501">
        <v>768.38</v>
      </c>
      <c r="M89" s="543">
        <v>1024.69</v>
      </c>
      <c r="N89" s="530">
        <v>1210.03</v>
      </c>
      <c r="O89" s="546">
        <v>1884.88</v>
      </c>
      <c r="P89" s="549">
        <v>1603.75</v>
      </c>
      <c r="Q89" s="482">
        <v>1032.1199999999999</v>
      </c>
      <c r="R89" s="412">
        <f t="shared" si="20"/>
        <v>7523.85</v>
      </c>
      <c r="S89" s="456">
        <f t="shared" si="21"/>
        <v>1253.9750000000001</v>
      </c>
      <c r="U89" s="9">
        <f t="shared" si="23"/>
        <v>0</v>
      </c>
      <c r="V89" s="9">
        <f t="shared" si="23"/>
        <v>0</v>
      </c>
      <c r="W89" s="9">
        <f t="shared" si="23"/>
        <v>0</v>
      </c>
      <c r="X89" s="9">
        <f t="shared" si="23"/>
        <v>0</v>
      </c>
      <c r="Y89" s="9">
        <f t="shared" si="23"/>
        <v>0</v>
      </c>
      <c r="Z89" s="9">
        <f t="shared" si="23"/>
        <v>0</v>
      </c>
      <c r="AA89" s="9">
        <f t="shared" si="23"/>
        <v>0</v>
      </c>
      <c r="AB89" s="9">
        <f t="shared" si="23"/>
        <v>0</v>
      </c>
      <c r="AC89" s="9">
        <f t="shared" si="23"/>
        <v>0</v>
      </c>
      <c r="AD89" s="9">
        <f t="shared" si="23"/>
        <v>0</v>
      </c>
      <c r="AE89" s="9">
        <f t="shared" si="23"/>
        <v>0</v>
      </c>
      <c r="AF89" s="9">
        <f t="shared" si="23"/>
        <v>0</v>
      </c>
      <c r="AG89" s="9">
        <f t="shared" si="23"/>
        <v>0</v>
      </c>
      <c r="AH89" s="9">
        <f t="shared" si="23"/>
        <v>84</v>
      </c>
      <c r="AI89" s="9">
        <f t="shared" si="23"/>
        <v>0</v>
      </c>
      <c r="AJ89" s="365">
        <f t="shared" si="18"/>
        <v>84</v>
      </c>
      <c r="AK89" s="460">
        <f t="shared" si="19"/>
        <v>0</v>
      </c>
    </row>
    <row r="90" spans="1:37" ht="14">
      <c r="A90" s="402" t="s">
        <v>1000</v>
      </c>
      <c r="B90" s="403">
        <v>15068982</v>
      </c>
      <c r="C90" s="403"/>
      <c r="D90" s="402"/>
      <c r="E90" s="402" t="s">
        <v>924</v>
      </c>
      <c r="F90" s="530">
        <v>5881.97</v>
      </c>
      <c r="G90" s="482"/>
      <c r="H90" s="537">
        <v>4848.8599999999997</v>
      </c>
      <c r="I90" s="536">
        <v>2510.87</v>
      </c>
      <c r="J90" s="482"/>
      <c r="K90" s="482"/>
      <c r="L90" s="543">
        <v>10102.58</v>
      </c>
      <c r="M90" s="530">
        <v>3012.64</v>
      </c>
      <c r="N90" s="546">
        <v>4667.26</v>
      </c>
      <c r="O90" s="482"/>
      <c r="P90" s="482"/>
      <c r="Q90" s="482"/>
      <c r="R90" s="412">
        <f t="shared" si="20"/>
        <v>17782.48</v>
      </c>
      <c r="S90" s="456">
        <f t="shared" si="21"/>
        <v>2963.7466666666664</v>
      </c>
      <c r="U90" s="9">
        <f t="shared" si="23"/>
        <v>0</v>
      </c>
      <c r="V90" s="9">
        <f t="shared" si="23"/>
        <v>0</v>
      </c>
      <c r="W90" s="9">
        <f t="shared" si="23"/>
        <v>0</v>
      </c>
      <c r="X90" s="9">
        <f t="shared" si="23"/>
        <v>0</v>
      </c>
      <c r="Y90" s="9">
        <f t="shared" si="23"/>
        <v>0</v>
      </c>
      <c r="Z90" s="9">
        <f t="shared" si="23"/>
        <v>0</v>
      </c>
      <c r="AA90" s="9">
        <f t="shared" si="23"/>
        <v>0</v>
      </c>
      <c r="AB90" s="9">
        <f t="shared" si="23"/>
        <v>0</v>
      </c>
      <c r="AC90" s="9">
        <f t="shared" si="23"/>
        <v>0</v>
      </c>
      <c r="AD90" s="9">
        <f t="shared" si="23"/>
        <v>0</v>
      </c>
      <c r="AE90" s="9">
        <f t="shared" si="23"/>
        <v>0</v>
      </c>
      <c r="AF90" s="9">
        <f t="shared" si="23"/>
        <v>0</v>
      </c>
      <c r="AG90" s="9">
        <f t="shared" si="23"/>
        <v>0</v>
      </c>
      <c r="AH90" s="9">
        <f t="shared" si="23"/>
        <v>0</v>
      </c>
      <c r="AI90" s="9">
        <f t="shared" si="23"/>
        <v>0</v>
      </c>
      <c r="AJ90" s="365">
        <f t="shared" si="18"/>
        <v>0</v>
      </c>
      <c r="AK90" s="460">
        <f t="shared" si="19"/>
        <v>0</v>
      </c>
    </row>
    <row r="91" spans="1:37" ht="14">
      <c r="A91" s="402" t="s">
        <v>705</v>
      </c>
      <c r="B91" s="403">
        <v>7009800</v>
      </c>
      <c r="C91" s="403"/>
      <c r="D91" s="402" t="s">
        <v>113</v>
      </c>
      <c r="E91" s="402" t="s">
        <v>102</v>
      </c>
      <c r="F91" s="490"/>
      <c r="G91" s="490"/>
      <c r="H91" s="490"/>
      <c r="I91" s="533">
        <v>490.27</v>
      </c>
      <c r="J91" s="490"/>
      <c r="K91" s="537">
        <v>76.16</v>
      </c>
      <c r="L91" s="490"/>
      <c r="M91" s="482"/>
      <c r="N91" s="482"/>
      <c r="O91" s="482"/>
      <c r="P91" s="482"/>
      <c r="Q91" s="482"/>
      <c r="R91" s="412">
        <f t="shared" si="20"/>
        <v>0</v>
      </c>
      <c r="S91" s="456">
        <f t="shared" si="21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>
        <f t="shared" si="23"/>
        <v>0</v>
      </c>
      <c r="AJ91" s="365">
        <f t="shared" si="18"/>
        <v>0</v>
      </c>
      <c r="AK91" s="460">
        <f t="shared" si="19"/>
        <v>0</v>
      </c>
    </row>
    <row r="92" spans="1:37" ht="14">
      <c r="A92" s="402" t="s">
        <v>531</v>
      </c>
      <c r="B92" s="403">
        <v>15059549</v>
      </c>
      <c r="C92" s="403">
        <v>42</v>
      </c>
      <c r="D92" s="402"/>
      <c r="E92" s="402" t="s">
        <v>856</v>
      </c>
      <c r="F92" s="483">
        <v>13314.01</v>
      </c>
      <c r="G92" s="528">
        <v>14040.39</v>
      </c>
      <c r="H92" s="530">
        <v>15850.71</v>
      </c>
      <c r="I92" s="533">
        <v>22007.48</v>
      </c>
      <c r="J92" s="536">
        <v>16486.060000000001</v>
      </c>
      <c r="K92" s="537">
        <v>10254.59</v>
      </c>
      <c r="L92" s="501">
        <v>8870.26</v>
      </c>
      <c r="M92" s="543">
        <v>9726.32</v>
      </c>
      <c r="N92" s="530">
        <v>13628.81</v>
      </c>
      <c r="O92" s="546">
        <v>19208.54</v>
      </c>
      <c r="P92" s="549">
        <v>13044.01</v>
      </c>
      <c r="Q92" s="482">
        <v>15714.93</v>
      </c>
      <c r="R92" s="412">
        <f t="shared" si="20"/>
        <v>80192.87</v>
      </c>
      <c r="S92" s="456">
        <f t="shared" si="21"/>
        <v>13365.478333333333</v>
      </c>
      <c r="U92" s="9">
        <f t="shared" si="23"/>
        <v>0</v>
      </c>
      <c r="V92" s="9">
        <f t="shared" si="23"/>
        <v>0</v>
      </c>
      <c r="W92" s="9">
        <f t="shared" si="23"/>
        <v>0</v>
      </c>
      <c r="X92" s="9">
        <f t="shared" si="23"/>
        <v>42</v>
      </c>
      <c r="Y92" s="9">
        <f t="shared" si="23"/>
        <v>0</v>
      </c>
      <c r="Z92" s="9">
        <f t="shared" si="23"/>
        <v>0</v>
      </c>
      <c r="AA92" s="9">
        <f t="shared" si="23"/>
        <v>0</v>
      </c>
      <c r="AB92" s="9">
        <f t="shared" si="23"/>
        <v>0</v>
      </c>
      <c r="AC92" s="9">
        <f t="shared" si="23"/>
        <v>0</v>
      </c>
      <c r="AD92" s="9">
        <f t="shared" si="23"/>
        <v>0</v>
      </c>
      <c r="AE92" s="9">
        <f t="shared" si="23"/>
        <v>0</v>
      </c>
      <c r="AF92" s="9">
        <f t="shared" si="23"/>
        <v>0</v>
      </c>
      <c r="AG92" s="9">
        <f t="shared" si="23"/>
        <v>0</v>
      </c>
      <c r="AH92" s="9">
        <f t="shared" si="23"/>
        <v>0</v>
      </c>
      <c r="AI92" s="9">
        <f t="shared" si="23"/>
        <v>0</v>
      </c>
      <c r="AJ92" s="365">
        <f t="shared" si="18"/>
        <v>42</v>
      </c>
      <c r="AK92" s="460">
        <f t="shared" si="19"/>
        <v>0</v>
      </c>
    </row>
    <row r="93" spans="1:37" ht="14">
      <c r="A93" s="402" t="s">
        <v>530</v>
      </c>
      <c r="B93" s="403">
        <v>15036275</v>
      </c>
      <c r="C93" s="403">
        <v>99</v>
      </c>
      <c r="D93" s="402" t="s">
        <v>645</v>
      </c>
      <c r="E93" s="402" t="s">
        <v>590</v>
      </c>
      <c r="F93" s="483">
        <v>24195.200000000001</v>
      </c>
      <c r="G93" s="528">
        <v>22006.02</v>
      </c>
      <c r="H93" s="530">
        <v>21729.59</v>
      </c>
      <c r="I93" s="533">
        <v>27386.32</v>
      </c>
      <c r="J93" s="536">
        <v>26442.880000000001</v>
      </c>
      <c r="K93" s="537">
        <v>15647.38</v>
      </c>
      <c r="L93" s="501">
        <v>13263.62</v>
      </c>
      <c r="M93" s="543">
        <v>13992.71</v>
      </c>
      <c r="N93" s="530">
        <v>24483.66</v>
      </c>
      <c r="O93" s="546">
        <v>27064.27</v>
      </c>
      <c r="P93" s="549">
        <v>21905.4</v>
      </c>
      <c r="Q93" s="482">
        <v>24862.61</v>
      </c>
      <c r="R93" s="412">
        <f t="shared" si="20"/>
        <v>125572.27</v>
      </c>
      <c r="S93" s="456">
        <f t="shared" si="21"/>
        <v>20928.711666666666</v>
      </c>
      <c r="U93" s="9">
        <f t="shared" si="23"/>
        <v>0</v>
      </c>
      <c r="V93" s="9">
        <f t="shared" si="23"/>
        <v>0</v>
      </c>
      <c r="W93" s="9">
        <f t="shared" si="23"/>
        <v>0</v>
      </c>
      <c r="X93" s="9">
        <f t="shared" si="23"/>
        <v>0</v>
      </c>
      <c r="Y93" s="9">
        <f t="shared" si="23"/>
        <v>0</v>
      </c>
      <c r="Z93" s="9">
        <f t="shared" si="23"/>
        <v>99</v>
      </c>
      <c r="AA93" s="9">
        <f t="shared" si="23"/>
        <v>0</v>
      </c>
      <c r="AB93" s="9">
        <f t="shared" si="23"/>
        <v>0</v>
      </c>
      <c r="AC93" s="9">
        <f t="shared" si="23"/>
        <v>0</v>
      </c>
      <c r="AD93" s="9">
        <f t="shared" si="23"/>
        <v>0</v>
      </c>
      <c r="AE93" s="9">
        <f t="shared" si="23"/>
        <v>0</v>
      </c>
      <c r="AF93" s="9">
        <f t="shared" si="23"/>
        <v>0</v>
      </c>
      <c r="AG93" s="9">
        <f t="shared" si="23"/>
        <v>0</v>
      </c>
      <c r="AH93" s="9">
        <f t="shared" si="23"/>
        <v>0</v>
      </c>
      <c r="AI93" s="9">
        <f t="shared" si="23"/>
        <v>0</v>
      </c>
      <c r="AJ93" s="365">
        <f t="shared" si="18"/>
        <v>99</v>
      </c>
      <c r="AK93" s="460">
        <f t="shared" si="19"/>
        <v>0</v>
      </c>
    </row>
    <row r="94" spans="1:37" ht="14">
      <c r="A94" s="402" t="s">
        <v>537</v>
      </c>
      <c r="B94" s="403">
        <v>15055052</v>
      </c>
      <c r="C94" s="403">
        <v>95</v>
      </c>
      <c r="D94" s="402" t="s">
        <v>590</v>
      </c>
      <c r="E94" s="402" t="s">
        <v>590</v>
      </c>
      <c r="F94" s="483">
        <v>25507</v>
      </c>
      <c r="G94" s="528">
        <v>25800.54</v>
      </c>
      <c r="H94" s="530">
        <v>25779.56</v>
      </c>
      <c r="I94" s="533">
        <v>31828.880000000001</v>
      </c>
      <c r="J94" s="536">
        <v>30046.27</v>
      </c>
      <c r="K94" s="537">
        <v>19541.38</v>
      </c>
      <c r="L94" s="501">
        <v>19468.689999999999</v>
      </c>
      <c r="M94" s="543">
        <v>20138.259999999998</v>
      </c>
      <c r="N94" s="530">
        <v>26636.639999999999</v>
      </c>
      <c r="O94" s="546">
        <v>27841.46</v>
      </c>
      <c r="P94" s="549">
        <v>25470.97</v>
      </c>
      <c r="Q94" s="482">
        <v>24842.65</v>
      </c>
      <c r="R94" s="412">
        <f t="shared" si="20"/>
        <v>144398.66999999998</v>
      </c>
      <c r="S94" s="456">
        <f t="shared" si="21"/>
        <v>24066.444999999996</v>
      </c>
      <c r="U94" s="9">
        <f t="shared" si="23"/>
        <v>0</v>
      </c>
      <c r="V94" s="9">
        <f t="shared" si="23"/>
        <v>95</v>
      </c>
      <c r="W94" s="9">
        <f t="shared" si="23"/>
        <v>0</v>
      </c>
      <c r="X94" s="9">
        <f t="shared" si="23"/>
        <v>0</v>
      </c>
      <c r="Y94" s="9">
        <f t="shared" si="23"/>
        <v>0</v>
      </c>
      <c r="Z94" s="9">
        <f t="shared" si="23"/>
        <v>0</v>
      </c>
      <c r="AA94" s="9">
        <f t="shared" si="23"/>
        <v>0</v>
      </c>
      <c r="AB94" s="9">
        <f t="shared" si="23"/>
        <v>0</v>
      </c>
      <c r="AC94" s="9">
        <f t="shared" si="23"/>
        <v>0</v>
      </c>
      <c r="AD94" s="9">
        <f t="shared" si="23"/>
        <v>0</v>
      </c>
      <c r="AE94" s="9">
        <f t="shared" si="23"/>
        <v>0</v>
      </c>
      <c r="AF94" s="9">
        <f t="shared" si="23"/>
        <v>0</v>
      </c>
      <c r="AG94" s="9">
        <f t="shared" si="23"/>
        <v>0</v>
      </c>
      <c r="AH94" s="9">
        <f t="shared" si="23"/>
        <v>0</v>
      </c>
      <c r="AI94" s="9">
        <f t="shared" si="23"/>
        <v>0</v>
      </c>
      <c r="AJ94" s="365">
        <f t="shared" si="18"/>
        <v>95</v>
      </c>
      <c r="AK94" s="460">
        <f t="shared" si="19"/>
        <v>0</v>
      </c>
    </row>
    <row r="95" spans="1:37" ht="14">
      <c r="A95" s="402" t="s">
        <v>660</v>
      </c>
      <c r="B95" s="403">
        <v>15070987</v>
      </c>
      <c r="C95" s="403">
        <v>97</v>
      </c>
      <c r="D95" s="402"/>
      <c r="E95" s="402" t="s">
        <v>1013</v>
      </c>
      <c r="F95" s="490"/>
      <c r="G95" s="490"/>
      <c r="H95" s="530">
        <v>14677.68</v>
      </c>
      <c r="I95" s="533">
        <v>28949.360000000001</v>
      </c>
      <c r="J95" s="536">
        <v>25100.81</v>
      </c>
      <c r="K95" s="537">
        <v>9367.83</v>
      </c>
      <c r="L95" s="501">
        <v>11749.41</v>
      </c>
      <c r="M95" s="543">
        <v>12530.84</v>
      </c>
      <c r="N95" s="530">
        <v>19925.52</v>
      </c>
      <c r="O95" s="546">
        <v>24725.38</v>
      </c>
      <c r="P95" s="549">
        <v>17266.11</v>
      </c>
      <c r="Q95" s="482">
        <v>24974.51</v>
      </c>
      <c r="R95" s="412">
        <f t="shared" si="20"/>
        <v>111171.77</v>
      </c>
      <c r="S95" s="456">
        <f t="shared" si="21"/>
        <v>18528.628333333334</v>
      </c>
      <c r="U95" s="9">
        <f t="shared" si="23"/>
        <v>0</v>
      </c>
      <c r="V95" s="9">
        <f t="shared" si="23"/>
        <v>0</v>
      </c>
      <c r="W95" s="9">
        <f t="shared" si="23"/>
        <v>0</v>
      </c>
      <c r="X95" s="9">
        <f t="shared" si="23"/>
        <v>0</v>
      </c>
      <c r="Y95" s="9">
        <f t="shared" si="23"/>
        <v>0</v>
      </c>
      <c r="Z95" s="9">
        <f t="shared" si="23"/>
        <v>0</v>
      </c>
      <c r="AA95" s="9">
        <f t="shared" si="23"/>
        <v>0</v>
      </c>
      <c r="AB95" s="9">
        <f t="shared" si="23"/>
        <v>0</v>
      </c>
      <c r="AC95" s="9">
        <f t="shared" si="23"/>
        <v>0</v>
      </c>
      <c r="AD95" s="9">
        <f t="shared" si="23"/>
        <v>0</v>
      </c>
      <c r="AE95" s="9">
        <f t="shared" si="23"/>
        <v>0</v>
      </c>
      <c r="AF95" s="9">
        <f t="shared" si="23"/>
        <v>0</v>
      </c>
      <c r="AG95" s="9">
        <f t="shared" si="23"/>
        <v>97</v>
      </c>
      <c r="AH95" s="9">
        <f t="shared" si="23"/>
        <v>0</v>
      </c>
      <c r="AI95" s="9">
        <f t="shared" si="23"/>
        <v>0</v>
      </c>
      <c r="AJ95" s="365">
        <f t="shared" si="18"/>
        <v>97</v>
      </c>
      <c r="AK95" s="460">
        <f t="shared" si="19"/>
        <v>0</v>
      </c>
    </row>
    <row r="96" spans="1:37" ht="14">
      <c r="A96" s="402" t="s">
        <v>1000</v>
      </c>
      <c r="B96" s="403">
        <v>15056636</v>
      </c>
      <c r="C96" s="403"/>
      <c r="D96" s="402" t="s">
        <v>712</v>
      </c>
      <c r="E96" s="402" t="s">
        <v>712</v>
      </c>
      <c r="F96" s="490"/>
      <c r="G96" s="528">
        <v>132.52000000000001</v>
      </c>
      <c r="H96" s="490"/>
      <c r="I96" s="490"/>
      <c r="J96" s="490"/>
      <c r="K96" s="490"/>
      <c r="L96" s="490"/>
      <c r="M96" s="482"/>
      <c r="N96" s="482"/>
      <c r="O96" s="482"/>
      <c r="P96" s="549">
        <v>10.88</v>
      </c>
      <c r="Q96" s="482"/>
      <c r="R96" s="412">
        <f t="shared" si="20"/>
        <v>10.88</v>
      </c>
      <c r="S96" s="456">
        <f t="shared" si="21"/>
        <v>1.8133333333333335</v>
      </c>
      <c r="U96" s="9">
        <f t="shared" si="23"/>
        <v>0</v>
      </c>
      <c r="V96" s="9">
        <f t="shared" si="23"/>
        <v>0</v>
      </c>
      <c r="W96" s="9">
        <f t="shared" si="23"/>
        <v>0</v>
      </c>
      <c r="X96" s="9">
        <f t="shared" si="23"/>
        <v>0</v>
      </c>
      <c r="Y96" s="9">
        <f t="shared" si="23"/>
        <v>0</v>
      </c>
      <c r="Z96" s="9">
        <f t="shared" si="23"/>
        <v>0</v>
      </c>
      <c r="AA96" s="9">
        <f t="shared" si="23"/>
        <v>0</v>
      </c>
      <c r="AB96" s="9">
        <f t="shared" si="23"/>
        <v>0</v>
      </c>
      <c r="AC96" s="9">
        <f t="shared" si="23"/>
        <v>0</v>
      </c>
      <c r="AD96" s="9">
        <f t="shared" si="23"/>
        <v>0</v>
      </c>
      <c r="AE96" s="9">
        <f t="shared" si="23"/>
        <v>0</v>
      </c>
      <c r="AF96" s="9">
        <f t="shared" si="23"/>
        <v>0</v>
      </c>
      <c r="AG96" s="9">
        <f t="shared" si="23"/>
        <v>0</v>
      </c>
      <c r="AH96" s="9">
        <f t="shared" si="23"/>
        <v>0</v>
      </c>
      <c r="AI96" s="9">
        <f t="shared" si="23"/>
        <v>0</v>
      </c>
      <c r="AJ96" s="365">
        <f t="shared" si="18"/>
        <v>0</v>
      </c>
      <c r="AK96" s="460">
        <f t="shared" si="19"/>
        <v>0</v>
      </c>
    </row>
    <row r="97" spans="1:37" ht="14">
      <c r="A97" s="402" t="s">
        <v>1000</v>
      </c>
      <c r="B97" s="403">
        <v>13860400</v>
      </c>
      <c r="C97" s="403"/>
      <c r="D97" s="402"/>
      <c r="E97" s="402" t="s">
        <v>1019</v>
      </c>
      <c r="F97" s="482"/>
      <c r="G97" s="528"/>
      <c r="H97" s="482"/>
      <c r="I97" s="482"/>
      <c r="J97" s="482"/>
      <c r="K97" s="482"/>
      <c r="L97" s="482"/>
      <c r="M97" s="482"/>
      <c r="N97" s="482"/>
      <c r="O97" s="482"/>
      <c r="P97" s="482"/>
      <c r="Q97" s="482"/>
      <c r="R97" s="412">
        <f t="shared" si="20"/>
        <v>0</v>
      </c>
      <c r="S97" s="456">
        <f t="shared" si="21"/>
        <v>0</v>
      </c>
      <c r="U97" s="9">
        <f t="shared" si="23"/>
        <v>0</v>
      </c>
      <c r="V97" s="9">
        <f t="shared" si="23"/>
        <v>0</v>
      </c>
      <c r="W97" s="9">
        <f t="shared" si="23"/>
        <v>0</v>
      </c>
      <c r="X97" s="9">
        <f t="shared" si="23"/>
        <v>0</v>
      </c>
      <c r="Y97" s="9">
        <f t="shared" si="23"/>
        <v>0</v>
      </c>
      <c r="Z97" s="9">
        <f t="shared" si="23"/>
        <v>0</v>
      </c>
      <c r="AA97" s="9">
        <f t="shared" si="23"/>
        <v>0</v>
      </c>
      <c r="AB97" s="9">
        <f t="shared" si="23"/>
        <v>0</v>
      </c>
      <c r="AC97" s="9">
        <f t="shared" si="23"/>
        <v>0</v>
      </c>
      <c r="AD97" s="9">
        <f t="shared" si="23"/>
        <v>0</v>
      </c>
      <c r="AE97" s="9">
        <f t="shared" si="23"/>
        <v>0</v>
      </c>
      <c r="AF97" s="9">
        <f t="shared" si="23"/>
        <v>0</v>
      </c>
      <c r="AG97" s="9">
        <f t="shared" si="23"/>
        <v>0</v>
      </c>
      <c r="AH97" s="9">
        <f t="shared" si="23"/>
        <v>0</v>
      </c>
      <c r="AI97" s="9">
        <f t="shared" si="23"/>
        <v>0</v>
      </c>
      <c r="AJ97" s="365">
        <f t="shared" si="18"/>
        <v>0</v>
      </c>
      <c r="AK97" s="460">
        <f t="shared" si="19"/>
        <v>0</v>
      </c>
    </row>
    <row r="98" spans="1:37" ht="14">
      <c r="A98" s="406" t="s">
        <v>533</v>
      </c>
      <c r="B98" s="407">
        <v>15055141</v>
      </c>
      <c r="C98" s="407">
        <v>124</v>
      </c>
      <c r="D98" s="408" t="s">
        <v>695</v>
      </c>
      <c r="E98" s="408" t="s">
        <v>695</v>
      </c>
      <c r="F98" s="485">
        <v>12463.13</v>
      </c>
      <c r="G98" s="531">
        <v>11878.04</v>
      </c>
      <c r="H98" s="532">
        <v>12022.26</v>
      </c>
      <c r="I98" s="535">
        <v>8690.68</v>
      </c>
      <c r="J98" s="539">
        <v>6398.06</v>
      </c>
      <c r="K98" s="538">
        <v>5424.57</v>
      </c>
      <c r="L98" s="542">
        <v>7218.84</v>
      </c>
      <c r="M98" s="545">
        <v>7834.43</v>
      </c>
      <c r="N98" s="532">
        <v>10104.06</v>
      </c>
      <c r="O98" s="548">
        <v>10368.14</v>
      </c>
      <c r="P98" s="550">
        <v>13130.93</v>
      </c>
      <c r="Q98" s="527">
        <v>11492.46</v>
      </c>
      <c r="R98" s="481">
        <f t="shared" si="20"/>
        <v>60148.86</v>
      </c>
      <c r="S98" s="456">
        <f t="shared" si="21"/>
        <v>10024.81</v>
      </c>
      <c r="U98" s="9">
        <f t="shared" si="23"/>
        <v>0</v>
      </c>
      <c r="V98" s="9">
        <f t="shared" si="23"/>
        <v>0</v>
      </c>
      <c r="W98" s="9">
        <f t="shared" si="23"/>
        <v>0</v>
      </c>
      <c r="X98" s="9">
        <f t="shared" si="23"/>
        <v>0</v>
      </c>
      <c r="Y98" s="9">
        <f t="shared" si="23"/>
        <v>0</v>
      </c>
      <c r="Z98" s="9">
        <f t="shared" si="23"/>
        <v>0</v>
      </c>
      <c r="AA98" s="9">
        <f t="shared" si="23"/>
        <v>0</v>
      </c>
      <c r="AB98" s="9">
        <f t="shared" si="23"/>
        <v>0</v>
      </c>
      <c r="AC98" s="9">
        <f t="shared" si="23"/>
        <v>0</v>
      </c>
      <c r="AD98" s="9">
        <f t="shared" si="23"/>
        <v>124</v>
      </c>
      <c r="AE98" s="9">
        <f t="shared" si="23"/>
        <v>0</v>
      </c>
      <c r="AF98" s="9">
        <f t="shared" si="23"/>
        <v>0</v>
      </c>
      <c r="AG98" s="9">
        <f t="shared" si="23"/>
        <v>0</v>
      </c>
      <c r="AH98" s="9">
        <f t="shared" si="23"/>
        <v>0</v>
      </c>
      <c r="AI98" s="9">
        <f t="shared" si="23"/>
        <v>0</v>
      </c>
      <c r="AJ98" s="365">
        <f t="shared" si="18"/>
        <v>124</v>
      </c>
      <c r="AK98" s="460">
        <f t="shared" si="19"/>
        <v>0</v>
      </c>
    </row>
    <row r="99" spans="1:37" ht="14">
      <c r="A99" s="402"/>
      <c r="B99" s="404"/>
      <c r="C99" s="404"/>
      <c r="D99" s="405"/>
      <c r="E99" s="405"/>
      <c r="F99" s="456">
        <f t="shared" ref="F99:S99" si="24">SUM(F4:F98)</f>
        <v>1930011.0999999989</v>
      </c>
      <c r="G99" s="412">
        <f t="shared" si="24"/>
        <v>1807797.2000000004</v>
      </c>
      <c r="H99" s="412">
        <f t="shared" si="24"/>
        <v>2011970.4400000002</v>
      </c>
      <c r="I99" s="412">
        <f t="shared" si="24"/>
        <v>2521951.4100000006</v>
      </c>
      <c r="J99" s="412">
        <f t="shared" si="24"/>
        <v>2087693.5499999998</v>
      </c>
      <c r="K99" s="412">
        <f>SUM(K4:K98)</f>
        <v>1247332.5899999996</v>
      </c>
      <c r="L99" s="412">
        <f t="shared" si="24"/>
        <v>1270663.0299999998</v>
      </c>
      <c r="M99" s="412">
        <f t="shared" si="24"/>
        <v>1393965.3399999994</v>
      </c>
      <c r="N99" s="412">
        <f>SUM(N4:N98)</f>
        <v>2055482.65</v>
      </c>
      <c r="O99" s="412">
        <f t="shared" si="24"/>
        <v>2327623.4700000002</v>
      </c>
      <c r="P99" s="412">
        <f t="shared" si="24"/>
        <v>1985693.6099999999</v>
      </c>
      <c r="Q99" s="412">
        <f t="shared" si="24"/>
        <v>2035399.7399999998</v>
      </c>
      <c r="R99" s="412">
        <f t="shared" si="24"/>
        <v>11068827.839999996</v>
      </c>
      <c r="S99" s="412">
        <f t="shared" si="24"/>
        <v>1844804.6399999994</v>
      </c>
    </row>
    <row r="100" spans="1:37" ht="14">
      <c r="A100" s="402"/>
      <c r="B100" s="404"/>
      <c r="C100" s="404"/>
      <c r="D100" s="405"/>
      <c r="E100" s="405"/>
    </row>
    <row r="101" spans="1:37" ht="14">
      <c r="E101" s="402" t="s">
        <v>140</v>
      </c>
      <c r="F101" s="426">
        <f t="shared" ref="F101:Q101" si="25">+F99</f>
        <v>1930011.0999999989</v>
      </c>
      <c r="G101" s="430">
        <f t="shared" si="25"/>
        <v>1807797.2000000004</v>
      </c>
      <c r="H101" s="430">
        <f t="shared" si="25"/>
        <v>2011970.4400000002</v>
      </c>
      <c r="I101" s="430">
        <f t="shared" si="25"/>
        <v>2521951.4100000006</v>
      </c>
      <c r="J101" s="430">
        <f t="shared" si="25"/>
        <v>2087693.5499999998</v>
      </c>
      <c r="K101" s="430">
        <f>+K99</f>
        <v>1247332.5899999996</v>
      </c>
      <c r="L101" s="430">
        <f t="shared" si="25"/>
        <v>1270663.0299999998</v>
      </c>
      <c r="M101" s="430">
        <f t="shared" si="25"/>
        <v>1393965.3399999994</v>
      </c>
      <c r="N101" s="430">
        <f>+N99</f>
        <v>2055482.65</v>
      </c>
      <c r="O101" s="430">
        <f t="shared" si="25"/>
        <v>2327623.4700000002</v>
      </c>
      <c r="P101" s="430">
        <f t="shared" si="25"/>
        <v>1985693.6099999999</v>
      </c>
      <c r="Q101" s="430">
        <f t="shared" si="25"/>
        <v>2035399.7399999998</v>
      </c>
      <c r="R101" s="412"/>
    </row>
    <row r="102" spans="1:37" ht="14">
      <c r="E102" s="402" t="s">
        <v>348</v>
      </c>
      <c r="F102" s="426">
        <f>-F8-F16-F17-F18-F40-F78-F90-F91-F95-F96</f>
        <v>-102761.06</v>
      </c>
      <c r="G102" s="431">
        <f>-G8-G16-G17-G18-G40-G50-G72-G73-G82-G90-G91</f>
        <v>-114409.17</v>
      </c>
      <c r="H102" s="431">
        <f>-H8-H16-H17-H18-H25-H40-H51-H68-H89-H90-H91-H96</f>
        <v>-76416.67</v>
      </c>
      <c r="I102" s="431">
        <f>-I8-I16-I17-I39-I51-I59-I68-I72-I89-I90-I96</f>
        <v>-76876.86</v>
      </c>
      <c r="J102" s="431">
        <f>-J5-J8-J16-J18-J25-J29-J51-J89-J90-J91-J96-J9</f>
        <v>-39025.229999999996</v>
      </c>
      <c r="K102" s="431">
        <f>-K8-K16-K17-K29-K68-K72-K90-K96-K9</f>
        <v>-21064.37</v>
      </c>
      <c r="L102" s="431">
        <f>-L4-L8-L16-L17-L18-L25-L30-L50-L51-L57-L68-L70-L71-L72-L73-L82-L90-L91-L9-L58</f>
        <v>-137664.45000000001</v>
      </c>
      <c r="M102" s="412">
        <f>-M4-M8-M16-M17-M26-M29-M49-M51-M57-M64-M66-M68-M71-M72-M73-M90-M91-M96-M9-M58</f>
        <v>-172009.04</v>
      </c>
      <c r="N102" s="431">
        <f>-N7-N8-N16-N17-N25-N27-N29-N30-N32-N51-N58-N63-N68-N69-N72-N78-N82-N90-N91-N96-N97</f>
        <v>-503489.41</v>
      </c>
      <c r="O102" s="431">
        <f>-O4-O8-O16-O17-O29-O40-O51-O57-O68-O72-O82-O90-O91-O96-O97</f>
        <v>-107105.09999999999</v>
      </c>
      <c r="P102" s="431">
        <f>-P4-P8-P9-P13-P16-P17-P25-P29-P34-P38-P41-P51-P57-P72-P90-P91-P97</f>
        <v>-156142.09999999998</v>
      </c>
      <c r="Q102" s="431">
        <f>-Q4-Q8-Q9-Q16-Q17-Q25-Q51-Q57-Q60-Q82-Q90-Q91-Q96-Q97</f>
        <v>0</v>
      </c>
    </row>
    <row r="103" spans="1:37" ht="14">
      <c r="E103" s="402" t="s">
        <v>349</v>
      </c>
      <c r="F103" s="427">
        <f>+'2022'!Q16+'2022'!Q39+'2022'!Q95</f>
        <v>67281.3</v>
      </c>
      <c r="G103" s="432">
        <f>+F17</f>
        <v>39485.93</v>
      </c>
      <c r="H103" s="432">
        <f>+'2022'!O17+'2022'!P17+F78+F90+G17+G50+G72+G73</f>
        <v>131568.71000000002</v>
      </c>
      <c r="I103" s="432">
        <f>+'2022'!Q17+'2023'!F18+'2023'!G18+'2023'!H17+'2023'!H18+'2023'!H25+'2023'!H40+'2023'!J5</f>
        <v>102718.59</v>
      </c>
      <c r="J103" s="432">
        <f>+I90+I72+I59+I39+G40</f>
        <v>67596.42</v>
      </c>
      <c r="K103" s="432">
        <f>+H90+I89+J89+F40+J29+J25+J18+I17</f>
        <v>88406.74</v>
      </c>
      <c r="L103" s="432">
        <f>+K72+K17</f>
        <v>14481.369999999999</v>
      </c>
      <c r="M103" s="432">
        <f>+L17+L18+L25+L30+L50+L70+L73+L90</f>
        <v>84299.6</v>
      </c>
      <c r="N103" s="432">
        <f>+L4+M4+M17+M29+M64+M66+M71+L71+L72+M72+M73+M90+M9+L9+K9+J9</f>
        <v>193427.02</v>
      </c>
      <c r="O103" s="432">
        <f>+'2021'!K99+'2021'!L99+'2021'!M99+'2021'!O99+'2021'!P99+'2022'!F101+'2022'!G101+'2022'!H101+'2022'!I101+'2022'!J101+'2022'!K101+'2023'!L58+'2023'!M49+'2023'!M58+'2023'!N7+'2023'!N17+'2023'!N25+'2023'!N30+'2023'!N32+'2023'!N58+'2023'!N63+'2023'!N69+'2023'!N78+'2023'!N90</f>
        <v>483033.08</v>
      </c>
      <c r="P103" s="432">
        <f>+O17+O57+O72+N72</f>
        <v>60817.66</v>
      </c>
      <c r="Q103" s="432">
        <f>+P13+P17+P34+P57+P72</f>
        <v>99447.64999999998</v>
      </c>
    </row>
    <row r="104" spans="1:37" ht="14">
      <c r="E104" s="402" t="s">
        <v>301</v>
      </c>
      <c r="F104" s="426">
        <f>+SUM(F101:F103)</f>
        <v>1894531.3399999989</v>
      </c>
      <c r="G104" s="425">
        <f>+SUM(G101:G103)</f>
        <v>1732873.9600000004</v>
      </c>
      <c r="H104" s="425">
        <f>+SUM(H101:H103)</f>
        <v>2067122.4800000002</v>
      </c>
      <c r="I104" s="425">
        <f>+SUM(I101:I103)</f>
        <v>2547793.1400000006</v>
      </c>
      <c r="J104" s="425">
        <f t="shared" ref="J104:Q104" si="26">+SUM(J101:J103)</f>
        <v>2116264.7399999998</v>
      </c>
      <c r="K104" s="425">
        <f t="shared" si="26"/>
        <v>1314674.9599999995</v>
      </c>
      <c r="L104" s="425">
        <f t="shared" si="26"/>
        <v>1147479.95</v>
      </c>
      <c r="M104" s="430">
        <f>+SUM(M101:M103)</f>
        <v>1306255.8999999994</v>
      </c>
      <c r="N104" s="425">
        <f t="shared" si="26"/>
        <v>1745420.26</v>
      </c>
      <c r="O104" s="425">
        <f t="shared" si="26"/>
        <v>2703551.45</v>
      </c>
      <c r="P104" s="425">
        <f t="shared" si="26"/>
        <v>1890369.1699999997</v>
      </c>
      <c r="Q104" s="425">
        <f t="shared" si="26"/>
        <v>2134847.3899999997</v>
      </c>
      <c r="R104" s="476"/>
    </row>
    <row r="105" spans="1:37" ht="14">
      <c r="E105" s="424" t="s">
        <v>304</v>
      </c>
      <c r="F105" s="426">
        <f t="shared" ref="F105:Q105" si="27">+F104/8.5*4</f>
        <v>891544.15999999945</v>
      </c>
      <c r="G105" s="426">
        <f t="shared" si="27"/>
        <v>815470.09882352967</v>
      </c>
      <c r="H105" s="426">
        <f t="shared" si="27"/>
        <v>972763.52000000014</v>
      </c>
      <c r="I105" s="426">
        <f t="shared" si="27"/>
        <v>1198961.4776470591</v>
      </c>
      <c r="J105" s="426">
        <f t="shared" si="27"/>
        <v>995889.28941176459</v>
      </c>
      <c r="K105" s="426">
        <f t="shared" si="27"/>
        <v>618670.5694117645</v>
      </c>
      <c r="L105" s="426">
        <f t="shared" si="27"/>
        <v>539990.56470588234</v>
      </c>
      <c r="M105" s="426">
        <f t="shared" si="27"/>
        <v>614708.65882352914</v>
      </c>
      <c r="N105" s="426">
        <f>+N104/8.5*4</f>
        <v>821374.24</v>
      </c>
      <c r="O105" s="426">
        <f t="shared" si="27"/>
        <v>1272259.5058823531</v>
      </c>
      <c r="P105" s="426">
        <f t="shared" si="27"/>
        <v>889585.49176470574</v>
      </c>
      <c r="Q105" s="426">
        <f t="shared" si="27"/>
        <v>1004634.0658823528</v>
      </c>
    </row>
    <row r="106" spans="1:37" ht="14">
      <c r="E106" s="424" t="s">
        <v>305</v>
      </c>
      <c r="F106" s="426">
        <f t="shared" ref="F106:Q106" si="28">+F104/8.5*2</f>
        <v>445772.07999999973</v>
      </c>
      <c r="G106" s="426">
        <f t="shared" si="28"/>
        <v>407735.04941176483</v>
      </c>
      <c r="H106" s="426">
        <f t="shared" si="28"/>
        <v>486381.76000000007</v>
      </c>
      <c r="I106" s="426">
        <f t="shared" si="28"/>
        <v>599480.73882352957</v>
      </c>
      <c r="J106" s="426">
        <f t="shared" si="28"/>
        <v>497944.6447058823</v>
      </c>
      <c r="K106" s="426">
        <f t="shared" si="28"/>
        <v>309335.28470588225</v>
      </c>
      <c r="L106" s="426">
        <f t="shared" si="28"/>
        <v>269995.28235294117</v>
      </c>
      <c r="M106" s="426">
        <f t="shared" si="28"/>
        <v>307354.32941176457</v>
      </c>
      <c r="N106" s="426">
        <f t="shared" si="28"/>
        <v>410687.12</v>
      </c>
      <c r="O106" s="426">
        <f t="shared" si="28"/>
        <v>636129.75294117653</v>
      </c>
      <c r="P106" s="426">
        <f t="shared" si="28"/>
        <v>444792.74588235287</v>
      </c>
      <c r="Q106" s="426">
        <f t="shared" si="28"/>
        <v>502317.03294117638</v>
      </c>
    </row>
    <row r="107" spans="1:37" ht="14">
      <c r="E107" s="402" t="s">
        <v>302</v>
      </c>
      <c r="F107" s="428">
        <f t="shared" ref="F107:Q107" si="29">+F105*0.005</f>
        <v>4457.7207999999973</v>
      </c>
      <c r="G107" s="428">
        <f t="shared" si="29"/>
        <v>4077.3504941176484</v>
      </c>
      <c r="H107" s="428">
        <f t="shared" si="29"/>
        <v>4863.8176000000012</v>
      </c>
      <c r="I107" s="428">
        <f t="shared" si="29"/>
        <v>5994.8073882352955</v>
      </c>
      <c r="J107" s="428">
        <f t="shared" si="29"/>
        <v>4979.4464470588227</v>
      </c>
      <c r="K107" s="428">
        <f t="shared" si="29"/>
        <v>3093.3528470588226</v>
      </c>
      <c r="L107" s="428">
        <f t="shared" si="29"/>
        <v>2699.9528235294119</v>
      </c>
      <c r="M107" s="428">
        <f t="shared" si="29"/>
        <v>3073.5432941176459</v>
      </c>
      <c r="N107" s="428">
        <f>+N105*0.005</f>
        <v>4106.8711999999996</v>
      </c>
      <c r="O107" s="428">
        <f t="shared" si="29"/>
        <v>6361.297529411765</v>
      </c>
      <c r="P107" s="428">
        <f t="shared" si="29"/>
        <v>4447.9274588235285</v>
      </c>
      <c r="Q107" s="428">
        <f t="shared" si="29"/>
        <v>5023.1703294117642</v>
      </c>
    </row>
    <row r="108" spans="1:37" ht="14">
      <c r="E108" s="402" t="s">
        <v>702</v>
      </c>
      <c r="F108" s="428">
        <f t="shared" ref="F108:Q108" si="30">+F104/8.5*2</f>
        <v>445772.07999999973</v>
      </c>
      <c r="G108" s="428">
        <f t="shared" si="30"/>
        <v>407735.04941176483</v>
      </c>
      <c r="H108" s="428">
        <f t="shared" si="30"/>
        <v>486381.76000000007</v>
      </c>
      <c r="I108" s="428">
        <f t="shared" si="30"/>
        <v>599480.73882352957</v>
      </c>
      <c r="J108" s="428">
        <f t="shared" si="30"/>
        <v>497944.6447058823</v>
      </c>
      <c r="K108" s="428">
        <f t="shared" si="30"/>
        <v>309335.28470588225</v>
      </c>
      <c r="L108" s="428">
        <f t="shared" si="30"/>
        <v>269995.28235294117</v>
      </c>
      <c r="M108" s="428">
        <f t="shared" si="30"/>
        <v>307354.32941176457</v>
      </c>
      <c r="N108" s="428">
        <f t="shared" si="30"/>
        <v>410687.12</v>
      </c>
      <c r="O108" s="428">
        <f t="shared" si="30"/>
        <v>636129.75294117653</v>
      </c>
      <c r="P108" s="428">
        <f t="shared" si="30"/>
        <v>444792.74588235287</v>
      </c>
      <c r="Q108" s="428">
        <f t="shared" si="30"/>
        <v>502317.03294117638</v>
      </c>
    </row>
    <row r="109" spans="1:37" ht="14">
      <c r="E109" s="402" t="s">
        <v>703</v>
      </c>
      <c r="F109" s="427">
        <f t="shared" ref="F109:Q109" si="31">+F104/8.5*0.5</f>
        <v>111443.01999999993</v>
      </c>
      <c r="G109" s="427">
        <f t="shared" si="31"/>
        <v>101933.76235294121</v>
      </c>
      <c r="H109" s="427">
        <f t="shared" si="31"/>
        <v>121595.44000000002</v>
      </c>
      <c r="I109" s="427">
        <f t="shared" si="31"/>
        <v>149870.18470588239</v>
      </c>
      <c r="J109" s="427">
        <f t="shared" si="31"/>
        <v>124486.16117647057</v>
      </c>
      <c r="K109" s="427">
        <f t="shared" si="31"/>
        <v>77333.821176470563</v>
      </c>
      <c r="L109" s="427">
        <f t="shared" si="31"/>
        <v>67498.820588235292</v>
      </c>
      <c r="M109" s="427">
        <f t="shared" si="31"/>
        <v>76838.582352941143</v>
      </c>
      <c r="N109" s="427">
        <f t="shared" si="31"/>
        <v>102671.78</v>
      </c>
      <c r="O109" s="427">
        <f t="shared" si="31"/>
        <v>159032.43823529413</v>
      </c>
      <c r="P109" s="427">
        <f t="shared" si="31"/>
        <v>111198.18647058822</v>
      </c>
      <c r="Q109" s="427">
        <f t="shared" si="31"/>
        <v>125579.2582352941</v>
      </c>
    </row>
    <row r="110" spans="1:37" ht="14">
      <c r="E110" s="402" t="s">
        <v>303</v>
      </c>
      <c r="F110" s="426">
        <f t="shared" ref="F110:Q110" si="32">+F105-F107</f>
        <v>887086.43919999944</v>
      </c>
      <c r="G110" s="425">
        <f t="shared" si="32"/>
        <v>811392.74832941208</v>
      </c>
      <c r="H110" s="425">
        <f t="shared" si="32"/>
        <v>967899.70240000018</v>
      </c>
      <c r="I110" s="425">
        <f t="shared" si="32"/>
        <v>1192966.6702588238</v>
      </c>
      <c r="J110" s="425">
        <f t="shared" si="32"/>
        <v>990909.84296470578</v>
      </c>
      <c r="K110" s="425">
        <f t="shared" si="32"/>
        <v>615577.21656470571</v>
      </c>
      <c r="L110" s="425">
        <f t="shared" si="32"/>
        <v>537290.61188235297</v>
      </c>
      <c r="M110" s="425">
        <f t="shared" si="32"/>
        <v>611635.11552941147</v>
      </c>
      <c r="N110" s="425">
        <f t="shared" si="32"/>
        <v>817267.36879999994</v>
      </c>
      <c r="O110" s="425">
        <f t="shared" si="32"/>
        <v>1265898.2083529413</v>
      </c>
      <c r="P110" s="425">
        <f t="shared" si="32"/>
        <v>885137.5643058822</v>
      </c>
      <c r="Q110" s="425">
        <f t="shared" si="32"/>
        <v>999610.89555294102</v>
      </c>
    </row>
    <row r="111" spans="1:37" ht="14">
      <c r="B111" s="412"/>
      <c r="E111" s="402"/>
      <c r="F111" s="428"/>
      <c r="G111" s="428"/>
      <c r="H111" s="428"/>
      <c r="I111" s="428"/>
    </row>
    <row r="112" spans="1:37" ht="14">
      <c r="E112" s="402" t="s">
        <v>637</v>
      </c>
      <c r="F112" s="540">
        <v>887086.44</v>
      </c>
      <c r="G112" s="541">
        <v>811392.75</v>
      </c>
      <c r="H112" s="541">
        <v>967899.7</v>
      </c>
      <c r="I112" s="541">
        <v>1192966.67</v>
      </c>
      <c r="J112" s="541">
        <v>990909.84</v>
      </c>
      <c r="K112" s="541">
        <v>615577.22</v>
      </c>
      <c r="L112" s="412">
        <v>537290.61</v>
      </c>
      <c r="M112" s="412">
        <v>611635.12</v>
      </c>
      <c r="N112" s="412">
        <v>817267.37</v>
      </c>
      <c r="O112" s="412">
        <v>1265898.21</v>
      </c>
      <c r="P112" s="412">
        <v>885137.56</v>
      </c>
      <c r="Q112" s="412">
        <v>999610.91</v>
      </c>
    </row>
    <row r="113" spans="5:18" ht="14">
      <c r="E113" s="402" t="s">
        <v>648</v>
      </c>
      <c r="F113" s="540">
        <f t="shared" ref="F113:Q113" si="33">+F110-F112</f>
        <v>-8.0000050365924835E-4</v>
      </c>
      <c r="G113" s="541">
        <f t="shared" si="33"/>
        <v>-1.6705879243090749E-3</v>
      </c>
      <c r="H113" s="541">
        <f t="shared" si="33"/>
        <v>2.400000230409205E-3</v>
      </c>
      <c r="I113" s="541">
        <f t="shared" si="33"/>
        <v>2.5882385671138763E-4</v>
      </c>
      <c r="J113" s="541">
        <f t="shared" si="33"/>
        <v>2.9647058108821511E-3</v>
      </c>
      <c r="K113" s="541">
        <f t="shared" si="33"/>
        <v>-3.4352942602708936E-3</v>
      </c>
      <c r="L113" s="429">
        <f t="shared" si="33"/>
        <v>1.882352982647717E-3</v>
      </c>
      <c r="M113" s="429">
        <f t="shared" si="33"/>
        <v>-4.4705885229632258E-3</v>
      </c>
      <c r="N113" s="429">
        <f t="shared" si="33"/>
        <v>-1.2000000569969416E-3</v>
      </c>
      <c r="O113" s="429">
        <f t="shared" si="33"/>
        <v>-1.6470586415380239E-3</v>
      </c>
      <c r="P113" s="429">
        <f t="shared" si="33"/>
        <v>4.3058821465820074E-3</v>
      </c>
      <c r="Q113" s="429">
        <f t="shared" si="33"/>
        <v>-1.4447059016674757E-2</v>
      </c>
      <c r="R113" s="460"/>
    </row>
    <row r="115" spans="5:18">
      <c r="F115" s="456">
        <f>+F7+F31+F52</f>
        <v>164620.97000000003</v>
      </c>
      <c r="G115" s="456">
        <f t="shared" ref="G115:Q115" si="34">+G7+G31+G52</f>
        <v>172023.62</v>
      </c>
      <c r="H115" s="456">
        <f t="shared" si="34"/>
        <v>138314.16999999998</v>
      </c>
      <c r="I115" s="456">
        <f t="shared" si="34"/>
        <v>153639.47</v>
      </c>
      <c r="J115" s="456">
        <f t="shared" si="34"/>
        <v>120650.48999999999</v>
      </c>
      <c r="K115" s="456">
        <f t="shared" si="34"/>
        <v>138073.26999999999</v>
      </c>
      <c r="L115" s="456">
        <f t="shared" si="34"/>
        <v>160843.40999999997</v>
      </c>
      <c r="M115" s="456">
        <f t="shared" si="34"/>
        <v>166445.55000000002</v>
      </c>
      <c r="N115" s="456">
        <f t="shared" si="34"/>
        <v>185876.41999999998</v>
      </c>
      <c r="O115" s="456">
        <f t="shared" si="34"/>
        <v>186944.44</v>
      </c>
      <c r="P115" s="456">
        <f t="shared" si="34"/>
        <v>186556.25</v>
      </c>
      <c r="Q115" s="456">
        <f t="shared" si="34"/>
        <v>185811.03</v>
      </c>
    </row>
  </sheetData>
  <pageMargins left="0.7" right="0.7" top="0.75" bottom="0.75" header="0.3" footer="0.3"/>
  <pageSetup scale="18" fitToHeight="0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A6BD-93E2-4011-B864-9D0D73CF4375}">
  <dimension ref="A1:BA119"/>
  <sheetViews>
    <sheetView tabSelected="1" zoomScale="94" zoomScaleNormal="94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O5" sqref="O5"/>
    </sheetView>
  </sheetViews>
  <sheetFormatPr defaultRowHeight="12.5"/>
  <cols>
    <col min="1" max="1" width="16.36328125" bestFit="1" customWidth="1"/>
    <col min="2" max="3" width="10.08984375" customWidth="1"/>
    <col min="4" max="4" width="9.08984375" customWidth="1"/>
    <col min="5" max="5" width="42.08984375" bestFit="1" customWidth="1"/>
    <col min="6" max="6" width="14.6328125" style="553" customWidth="1"/>
    <col min="7" max="7" width="15.36328125" style="412" customWidth="1"/>
    <col min="8" max="8" width="15.6328125" style="412" customWidth="1"/>
    <col min="9" max="10" width="15.36328125" style="412" customWidth="1"/>
    <col min="11" max="11" width="15.6328125" style="412" customWidth="1"/>
    <col min="12" max="12" width="15.54296875" style="412" bestFit="1" customWidth="1"/>
    <col min="13" max="13" width="15.1796875" style="412" customWidth="1"/>
    <col min="14" max="14" width="15.1796875" style="412" bestFit="1" customWidth="1"/>
    <col min="15" max="15" width="15.6328125" style="412" customWidth="1"/>
    <col min="16" max="18" width="15.36328125" style="412" customWidth="1"/>
    <col min="19" max="19" width="14.90625" bestFit="1" customWidth="1"/>
    <col min="20" max="20" width="13.6328125" customWidth="1"/>
    <col min="21" max="21" width="14.36328125" style="553" bestFit="1" customWidth="1"/>
    <col min="22" max="22" width="13.08984375" style="553" bestFit="1" customWidth="1"/>
    <col min="23" max="23" width="8.90625" customWidth="1"/>
    <col min="24" max="24" width="15.08984375" bestFit="1" customWidth="1"/>
    <col min="25" max="25" width="14.08984375" bestFit="1" customWidth="1"/>
    <col min="26" max="26" width="15.08984375" bestFit="1" customWidth="1"/>
    <col min="27" max="27" width="12" customWidth="1"/>
    <col min="28" max="28" width="11.453125" customWidth="1"/>
    <col min="29" max="29" width="9" customWidth="1"/>
    <col min="30" max="31" width="15.08984375" bestFit="1" customWidth="1"/>
    <col min="32" max="32" width="14.08984375" bestFit="1" customWidth="1"/>
    <col min="33" max="33" width="8.90625" customWidth="1"/>
    <col min="34" max="36" width="15.08984375" bestFit="1" customWidth="1"/>
    <col min="37" max="37" width="15.08984375" customWidth="1"/>
    <col min="38" max="38" width="15.08984375" bestFit="1" customWidth="1"/>
    <col min="39" max="39" width="16.6328125" bestFit="1" customWidth="1"/>
    <col min="40" max="40" width="17.36328125" bestFit="1" customWidth="1"/>
    <col min="41" max="41" width="17.36328125" customWidth="1"/>
    <col min="42" max="42" width="1.6328125" customWidth="1"/>
    <col min="43" max="43" width="8.90625" customWidth="1"/>
    <col min="44" max="44" width="12.6328125" bestFit="1" customWidth="1"/>
    <col min="45" max="45" width="14" style="456" customWidth="1"/>
    <col min="46" max="46" width="14.453125" style="525" bestFit="1" customWidth="1"/>
    <col min="47" max="47" width="12.90625" customWidth="1"/>
    <col min="48" max="48" width="14" style="456" customWidth="1"/>
    <col min="49" max="49" width="12.90625" style="456" customWidth="1"/>
    <col min="50" max="50" width="8.90625" customWidth="1"/>
    <col min="51" max="51" width="15" customWidth="1"/>
    <col min="52" max="52" width="8.90625" customWidth="1"/>
    <col min="53" max="53" width="11.6328125" customWidth="1"/>
    <col min="54" max="56" width="8.90625" customWidth="1"/>
  </cols>
  <sheetData>
    <row r="1" spans="1:53">
      <c r="F1" s="553">
        <f t="shared" ref="F1:M1" si="0">+SUM(F4:F104)</f>
        <v>1891859.4829999991</v>
      </c>
      <c r="G1" s="412">
        <f t="shared" si="0"/>
        <v>1840248.3399999999</v>
      </c>
      <c r="H1" s="412">
        <f t="shared" si="0"/>
        <v>2103305.5599999996</v>
      </c>
      <c r="I1" s="412">
        <f t="shared" si="0"/>
        <v>2674227.1</v>
      </c>
      <c r="J1" s="412">
        <f t="shared" si="0"/>
        <v>1635316.0999999999</v>
      </c>
      <c r="K1" s="412">
        <f t="shared" si="0"/>
        <v>1163088.44</v>
      </c>
      <c r="L1" s="412">
        <f t="shared" si="0"/>
        <v>1145813.3400000003</v>
      </c>
      <c r="M1" s="412">
        <f t="shared" si="0"/>
        <v>1415901.5100000002</v>
      </c>
      <c r="N1" s="412">
        <f>+SUM(N5:N104)</f>
        <v>1685559.5899999994</v>
      </c>
      <c r="O1" s="412">
        <f>+SUM(O4:O104)</f>
        <v>0</v>
      </c>
      <c r="P1" s="412">
        <f>+SUM(P4:P104)</f>
        <v>0</v>
      </c>
      <c r="Q1" s="412">
        <f>+SUM(Q4:Q104)</f>
        <v>0</v>
      </c>
      <c r="S1" s="412">
        <f>+SUM(S4:S104)</f>
        <v>11308045.023000004</v>
      </c>
      <c r="T1" s="412"/>
      <c r="X1" s="553"/>
      <c r="Y1" s="553"/>
      <c r="Z1" s="553"/>
      <c r="AA1" s="553"/>
      <c r="AB1" s="553"/>
      <c r="AC1" s="456"/>
      <c r="AD1" s="456"/>
      <c r="AE1" s="456"/>
      <c r="AF1" s="456"/>
      <c r="AG1" s="456"/>
      <c r="AH1" s="456"/>
      <c r="AI1" s="456"/>
      <c r="AJ1" s="456">
        <f>+AJ2/8.5*12</f>
        <v>2227150.08</v>
      </c>
      <c r="AK1" s="456">
        <f>+AJ1/9</f>
        <v>247461.12</v>
      </c>
      <c r="AL1" s="456">
        <f>+AK1*12</f>
        <v>2969533.44</v>
      </c>
      <c r="AM1" s="580"/>
    </row>
    <row r="2" spans="1:53">
      <c r="C2">
        <f>+SUM(C4:C104)</f>
        <v>8821</v>
      </c>
      <c r="E2" s="460"/>
      <c r="U2" s="579">
        <f>+SUM(U4:U104)</f>
        <v>15555319.463000001</v>
      </c>
      <c r="W2" s="458">
        <f t="shared" ref="W2:AL2" si="1">+SUM(W4:W104)</f>
        <v>0</v>
      </c>
      <c r="X2" s="458">
        <f t="shared" si="1"/>
        <v>997307.28</v>
      </c>
      <c r="Y2" s="458">
        <f t="shared" si="1"/>
        <v>170436.26</v>
      </c>
      <c r="Z2" s="458">
        <f t="shared" si="1"/>
        <v>3195530.8699999992</v>
      </c>
      <c r="AA2" s="458">
        <f t="shared" si="1"/>
        <v>0</v>
      </c>
      <c r="AB2" s="458">
        <f t="shared" si="1"/>
        <v>1789853.54</v>
      </c>
      <c r="AC2" s="458">
        <f t="shared" si="1"/>
        <v>0</v>
      </c>
      <c r="AD2" s="458">
        <f t="shared" si="1"/>
        <v>2377883.5800000005</v>
      </c>
      <c r="AE2" s="458">
        <f t="shared" si="1"/>
        <v>1451070.47</v>
      </c>
      <c r="AF2" s="458">
        <f t="shared" si="1"/>
        <v>515516.50000000006</v>
      </c>
      <c r="AG2" s="458">
        <f t="shared" si="1"/>
        <v>0</v>
      </c>
      <c r="AH2" s="458">
        <f t="shared" si="1"/>
        <v>790209.3</v>
      </c>
      <c r="AI2" s="458">
        <f t="shared" si="1"/>
        <v>1205807.92</v>
      </c>
      <c r="AJ2" s="458">
        <f t="shared" si="1"/>
        <v>1577564.6400000001</v>
      </c>
      <c r="AK2" s="458">
        <f t="shared" si="1"/>
        <v>964347.3600000001</v>
      </c>
      <c r="AL2" s="458">
        <f t="shared" si="1"/>
        <v>519791.74299999996</v>
      </c>
      <c r="AM2" s="458">
        <f>+SUM(AM4:AM104)</f>
        <v>15555319.463000001</v>
      </c>
      <c r="AN2" s="458">
        <f>+SUM(AN4:AN104)</f>
        <v>15555319.463000001</v>
      </c>
      <c r="AO2" s="581"/>
    </row>
    <row r="3" spans="1:53" ht="21.5">
      <c r="A3" s="401" t="s">
        <v>523</v>
      </c>
      <c r="B3" s="400" t="s">
        <v>82</v>
      </c>
      <c r="C3" s="400" t="s">
        <v>981</v>
      </c>
      <c r="D3" s="401" t="s">
        <v>524</v>
      </c>
      <c r="E3" s="401" t="s">
        <v>0</v>
      </c>
      <c r="F3" s="557" t="s">
        <v>1024</v>
      </c>
      <c r="G3" s="560" t="s">
        <v>1025</v>
      </c>
      <c r="H3" s="564" t="s">
        <v>1026</v>
      </c>
      <c r="I3" s="566" t="s">
        <v>1027</v>
      </c>
      <c r="J3" s="569" t="s">
        <v>1028</v>
      </c>
      <c r="K3" s="571" t="s">
        <v>1029</v>
      </c>
      <c r="L3" s="575" t="s">
        <v>1030</v>
      </c>
      <c r="M3" s="582" t="s">
        <v>1031</v>
      </c>
      <c r="N3" s="590" t="s">
        <v>1032</v>
      </c>
      <c r="O3" s="554" t="s">
        <v>1033</v>
      </c>
      <c r="P3" s="555" t="s">
        <v>1034</v>
      </c>
      <c r="Q3" s="555" t="s">
        <v>1035</v>
      </c>
      <c r="R3" s="555" t="s">
        <v>1045</v>
      </c>
      <c r="S3" s="506" t="s">
        <v>1042</v>
      </c>
      <c r="T3" s="578" t="s">
        <v>1022</v>
      </c>
      <c r="U3" s="556" t="s">
        <v>1046</v>
      </c>
      <c r="W3" s="14" t="s">
        <v>539</v>
      </c>
      <c r="X3" s="14" t="s">
        <v>537</v>
      </c>
      <c r="Y3" s="14" t="s">
        <v>662</v>
      </c>
      <c r="Z3" s="14" t="s">
        <v>531</v>
      </c>
      <c r="AA3" s="14" t="s">
        <v>950</v>
      </c>
      <c r="AB3" s="14" t="s">
        <v>530</v>
      </c>
      <c r="AC3" s="14" t="s">
        <v>948</v>
      </c>
      <c r="AD3" s="14" t="s">
        <v>535</v>
      </c>
      <c r="AE3" s="14" t="s">
        <v>658</v>
      </c>
      <c r="AF3" s="20" t="s">
        <v>533</v>
      </c>
      <c r="AG3" s="20" t="s">
        <v>891</v>
      </c>
      <c r="AH3" s="14" t="s">
        <v>659</v>
      </c>
      <c r="AI3" s="14" t="s">
        <v>660</v>
      </c>
      <c r="AJ3" s="14" t="s">
        <v>999</v>
      </c>
      <c r="AK3" s="14" t="s">
        <v>1043</v>
      </c>
      <c r="AL3" s="14" t="s">
        <v>704</v>
      </c>
      <c r="AM3" s="14" t="s">
        <v>141</v>
      </c>
    </row>
    <row r="4" spans="1:53" ht="14">
      <c r="A4" s="402" t="s">
        <v>531</v>
      </c>
      <c r="B4" s="403">
        <v>15037984</v>
      </c>
      <c r="C4" s="403">
        <v>88</v>
      </c>
      <c r="D4" s="402" t="s">
        <v>652</v>
      </c>
      <c r="E4" s="402" t="s">
        <v>653</v>
      </c>
      <c r="F4" s="558">
        <v>17366.27</v>
      </c>
      <c r="G4" s="563">
        <v>21656.639999999999</v>
      </c>
      <c r="H4" s="567">
        <v>30593.01</v>
      </c>
      <c r="I4" s="567">
        <v>39982.800000000003</v>
      </c>
      <c r="J4" s="572">
        <v>22057.37</v>
      </c>
      <c r="K4" s="572">
        <v>13182.05</v>
      </c>
      <c r="L4" s="576">
        <v>12045.89</v>
      </c>
      <c r="M4" s="583">
        <v>14305.65</v>
      </c>
      <c r="N4" s="588"/>
      <c r="O4" s="482"/>
      <c r="P4" s="482"/>
      <c r="Q4" s="482"/>
      <c r="R4" s="586">
        <f>+SUM(F4:Q4)</f>
        <v>171189.67999999996</v>
      </c>
      <c r="S4" s="412">
        <f>+SUM(F4:K4)</f>
        <v>144838.13999999998</v>
      </c>
      <c r="T4" s="412">
        <f>+'2023'!R4</f>
        <v>117750</v>
      </c>
      <c r="U4" s="579">
        <f>+SUM(F4:Q4)</f>
        <v>171189.67999999996</v>
      </c>
      <c r="W4" s="9">
        <f t="shared" ref="W4:AL13" si="2">+IF($A4=W$3,$U4,0)</f>
        <v>0</v>
      </c>
      <c r="X4" s="9">
        <f>+IF($A4=X$3,$U4,0)</f>
        <v>0</v>
      </c>
      <c r="Y4" s="9">
        <f t="shared" si="2"/>
        <v>0</v>
      </c>
      <c r="Z4" s="9">
        <f t="shared" si="2"/>
        <v>171189.67999999996</v>
      </c>
      <c r="AA4" s="9">
        <f t="shared" si="2"/>
        <v>0</v>
      </c>
      <c r="AB4" s="9">
        <f t="shared" si="2"/>
        <v>0</v>
      </c>
      <c r="AC4" s="9">
        <f t="shared" si="2"/>
        <v>0</v>
      </c>
      <c r="AD4" s="9">
        <f t="shared" si="2"/>
        <v>0</v>
      </c>
      <c r="AE4" s="9">
        <f t="shared" si="2"/>
        <v>0</v>
      </c>
      <c r="AF4" s="9">
        <f t="shared" si="2"/>
        <v>0</v>
      </c>
      <c r="AG4" s="9">
        <f t="shared" si="2"/>
        <v>0</v>
      </c>
      <c r="AH4" s="9">
        <f t="shared" si="2"/>
        <v>0</v>
      </c>
      <c r="AI4" s="9">
        <f t="shared" si="2"/>
        <v>0</v>
      </c>
      <c r="AJ4" s="9">
        <f t="shared" si="2"/>
        <v>0</v>
      </c>
      <c r="AK4" s="9">
        <f t="shared" si="2"/>
        <v>0</v>
      </c>
      <c r="AL4" s="9">
        <f t="shared" si="2"/>
        <v>0</v>
      </c>
      <c r="AM4" s="365">
        <f t="shared" ref="AM4:AM67" si="3">+SUM(W4:AL4)</f>
        <v>171189.67999999996</v>
      </c>
      <c r="AN4" s="412">
        <f>+U4</f>
        <v>171189.67999999996</v>
      </c>
      <c r="AO4" s="412">
        <f>+AM4-AN4</f>
        <v>0</v>
      </c>
    </row>
    <row r="5" spans="1:53" ht="14">
      <c r="A5" s="402" t="s">
        <v>662</v>
      </c>
      <c r="B5" s="404">
        <v>15066057</v>
      </c>
      <c r="C5" s="404">
        <v>176</v>
      </c>
      <c r="D5" s="405"/>
      <c r="E5" s="405" t="s">
        <v>997</v>
      </c>
      <c r="F5" s="558">
        <v>12268.56</v>
      </c>
      <c r="G5" s="561">
        <v>9690.02</v>
      </c>
      <c r="H5" s="563">
        <v>13792.78</v>
      </c>
      <c r="I5" s="567">
        <v>13859.94</v>
      </c>
      <c r="J5" s="568">
        <v>5704.5</v>
      </c>
      <c r="K5" s="572">
        <v>4978.51</v>
      </c>
      <c r="L5" s="576">
        <v>5526.9</v>
      </c>
      <c r="M5" s="583">
        <v>5492</v>
      </c>
      <c r="N5" s="585">
        <v>8996.19</v>
      </c>
      <c r="O5" s="482"/>
      <c r="P5" s="482"/>
      <c r="Q5" s="482"/>
      <c r="R5" s="586">
        <f t="shared" ref="R5:R68" si="4">+SUM(F5:Q5)</f>
        <v>80309.400000000009</v>
      </c>
      <c r="S5" s="412">
        <f t="shared" ref="S5:S68" si="5">+SUM(F5:K5)</f>
        <v>60294.310000000005</v>
      </c>
      <c r="T5" s="412">
        <f>+'2023'!R5</f>
        <v>66934.95</v>
      </c>
      <c r="U5" s="579">
        <f t="shared" ref="U5:U68" si="6">+SUM(F5:Q5)</f>
        <v>80309.400000000009</v>
      </c>
      <c r="W5" s="9">
        <f t="shared" si="2"/>
        <v>0</v>
      </c>
      <c r="X5" s="9">
        <f t="shared" si="2"/>
        <v>0</v>
      </c>
      <c r="Y5" s="9">
        <f t="shared" si="2"/>
        <v>80309.400000000009</v>
      </c>
      <c r="Z5" s="9">
        <f t="shared" si="2"/>
        <v>0</v>
      </c>
      <c r="AA5" s="9">
        <f t="shared" si="2"/>
        <v>0</v>
      </c>
      <c r="AB5" s="9">
        <f t="shared" si="2"/>
        <v>0</v>
      </c>
      <c r="AC5" s="9">
        <f t="shared" si="2"/>
        <v>0</v>
      </c>
      <c r="AD5" s="9">
        <f t="shared" si="2"/>
        <v>0</v>
      </c>
      <c r="AE5" s="9">
        <f t="shared" si="2"/>
        <v>0</v>
      </c>
      <c r="AF5" s="9">
        <f t="shared" si="2"/>
        <v>0</v>
      </c>
      <c r="AG5" s="9">
        <f t="shared" si="2"/>
        <v>0</v>
      </c>
      <c r="AH5" s="9">
        <f t="shared" si="2"/>
        <v>0</v>
      </c>
      <c r="AI5" s="9">
        <f t="shared" si="2"/>
        <v>0</v>
      </c>
      <c r="AJ5" s="9">
        <f t="shared" si="2"/>
        <v>0</v>
      </c>
      <c r="AK5" s="9">
        <f t="shared" si="2"/>
        <v>0</v>
      </c>
      <c r="AL5" s="9">
        <f t="shared" si="2"/>
        <v>0</v>
      </c>
      <c r="AM5" s="365">
        <f t="shared" si="3"/>
        <v>80309.400000000009</v>
      </c>
      <c r="AN5" s="412">
        <f t="shared" ref="AN5:AN68" si="7">+U5</f>
        <v>80309.400000000009</v>
      </c>
      <c r="AO5" s="412">
        <f t="shared" ref="AO5:AO68" si="8">+AM5-AN5</f>
        <v>0</v>
      </c>
    </row>
    <row r="6" spans="1:53" ht="14">
      <c r="A6" s="402" t="s">
        <v>1043</v>
      </c>
      <c r="B6" s="404">
        <v>15080802</v>
      </c>
      <c r="C6" s="404"/>
      <c r="D6" s="405"/>
      <c r="E6" s="405" t="s">
        <v>1021</v>
      </c>
      <c r="F6" s="558">
        <v>925.36</v>
      </c>
      <c r="G6" s="561">
        <v>987.43</v>
      </c>
      <c r="H6" s="563">
        <v>1155.8</v>
      </c>
      <c r="I6" s="567">
        <v>1379.84</v>
      </c>
      <c r="J6" s="568">
        <v>567.41999999999996</v>
      </c>
      <c r="K6" s="572">
        <v>504.7</v>
      </c>
      <c r="L6" s="576">
        <v>669.3</v>
      </c>
      <c r="M6" s="583">
        <v>703.03</v>
      </c>
      <c r="N6" s="585">
        <v>606.34</v>
      </c>
      <c r="O6" s="490"/>
      <c r="P6" s="490"/>
      <c r="Q6" s="482"/>
      <c r="R6" s="586">
        <f t="shared" si="4"/>
        <v>7499.22</v>
      </c>
      <c r="S6" s="412">
        <f t="shared" si="5"/>
        <v>5520.55</v>
      </c>
      <c r="T6" s="412">
        <f>+'2023'!R6</f>
        <v>354.43</v>
      </c>
      <c r="U6" s="579">
        <f t="shared" si="6"/>
        <v>7499.22</v>
      </c>
      <c r="W6" s="9">
        <f t="shared" si="2"/>
        <v>0</v>
      </c>
      <c r="X6" s="9">
        <f t="shared" si="2"/>
        <v>0</v>
      </c>
      <c r="Y6" s="9">
        <f t="shared" si="2"/>
        <v>0</v>
      </c>
      <c r="Z6" s="9">
        <f t="shared" si="2"/>
        <v>0</v>
      </c>
      <c r="AA6" s="9">
        <f t="shared" si="2"/>
        <v>0</v>
      </c>
      <c r="AB6" s="9">
        <f t="shared" si="2"/>
        <v>0</v>
      </c>
      <c r="AC6" s="9">
        <f t="shared" si="2"/>
        <v>0</v>
      </c>
      <c r="AD6" s="9">
        <f t="shared" si="2"/>
        <v>0</v>
      </c>
      <c r="AE6" s="9">
        <f t="shared" si="2"/>
        <v>0</v>
      </c>
      <c r="AF6" s="9">
        <f t="shared" si="2"/>
        <v>0</v>
      </c>
      <c r="AG6" s="9">
        <f t="shared" si="2"/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7499.22</v>
      </c>
      <c r="AL6" s="9">
        <f t="shared" si="2"/>
        <v>0</v>
      </c>
      <c r="AM6" s="365">
        <f t="shared" si="3"/>
        <v>7499.22</v>
      </c>
      <c r="AN6" s="412">
        <f t="shared" si="7"/>
        <v>7499.22</v>
      </c>
      <c r="AO6" s="412">
        <f t="shared" si="8"/>
        <v>0</v>
      </c>
    </row>
    <row r="7" spans="1:53" ht="14">
      <c r="A7" s="402" t="s">
        <v>1000</v>
      </c>
      <c r="B7" s="404">
        <v>15036764</v>
      </c>
      <c r="C7" s="404"/>
      <c r="D7" s="405"/>
      <c r="E7" s="405" t="s">
        <v>951</v>
      </c>
      <c r="F7" s="558">
        <v>168119.71</v>
      </c>
      <c r="G7" s="561">
        <v>173612.94</v>
      </c>
      <c r="H7" s="563">
        <v>132731.62</v>
      </c>
      <c r="I7" s="567">
        <v>118183.72</v>
      </c>
      <c r="J7" s="568">
        <v>94220.99</v>
      </c>
      <c r="K7" s="572">
        <v>123743.89</v>
      </c>
      <c r="L7" s="576">
        <v>179226.53</v>
      </c>
      <c r="M7" s="583">
        <v>177121.78</v>
      </c>
      <c r="N7" s="585">
        <v>180617.33</v>
      </c>
      <c r="O7" s="482"/>
      <c r="P7" s="482"/>
      <c r="Q7" s="482"/>
      <c r="R7" s="586">
        <f t="shared" si="4"/>
        <v>1347578.51</v>
      </c>
      <c r="S7" s="412">
        <f t="shared" si="5"/>
        <v>810612.87</v>
      </c>
      <c r="T7" s="412">
        <f>+'2023'!R7</f>
        <v>907367.56</v>
      </c>
      <c r="U7" s="579">
        <f t="shared" si="6"/>
        <v>1347578.51</v>
      </c>
      <c r="W7" s="9">
        <f t="shared" si="2"/>
        <v>0</v>
      </c>
      <c r="X7" s="9">
        <f t="shared" si="2"/>
        <v>0</v>
      </c>
      <c r="Y7" s="9">
        <f t="shared" si="2"/>
        <v>0</v>
      </c>
      <c r="Z7" s="9">
        <f t="shared" si="2"/>
        <v>0</v>
      </c>
      <c r="AA7" s="9">
        <f t="shared" si="2"/>
        <v>0</v>
      </c>
      <c r="AB7" s="9">
        <f t="shared" si="2"/>
        <v>0</v>
      </c>
      <c r="AC7" s="9">
        <f t="shared" si="2"/>
        <v>0</v>
      </c>
      <c r="AD7" s="9">
        <f t="shared" si="2"/>
        <v>0</v>
      </c>
      <c r="AE7" s="9">
        <f t="shared" si="2"/>
        <v>0</v>
      </c>
      <c r="AF7" s="9">
        <f t="shared" si="2"/>
        <v>0</v>
      </c>
      <c r="AG7" s="9">
        <f t="shared" si="2"/>
        <v>0</v>
      </c>
      <c r="AH7" s="9">
        <f t="shared" si="2"/>
        <v>0</v>
      </c>
      <c r="AI7" s="9">
        <f t="shared" si="2"/>
        <v>0</v>
      </c>
      <c r="AJ7" s="9">
        <f t="shared" si="2"/>
        <v>1347578.51</v>
      </c>
      <c r="AK7" s="9">
        <f t="shared" si="2"/>
        <v>0</v>
      </c>
      <c r="AL7" s="9">
        <f t="shared" si="2"/>
        <v>0</v>
      </c>
      <c r="AM7" s="365">
        <f t="shared" si="3"/>
        <v>1347578.51</v>
      </c>
      <c r="AN7" s="412">
        <f t="shared" si="7"/>
        <v>1347578.51</v>
      </c>
      <c r="AO7" s="412">
        <f t="shared" si="8"/>
        <v>0</v>
      </c>
      <c r="AQ7" t="s">
        <v>957</v>
      </c>
      <c r="AR7" s="458">
        <f>+W2</f>
        <v>0</v>
      </c>
      <c r="AS7" s="456">
        <f>+AR7*11.764706</f>
        <v>0</v>
      </c>
      <c r="AU7" s="458"/>
      <c r="AV7" s="456">
        <f>+AU7*11.764706</f>
        <v>0</v>
      </c>
      <c r="AW7" s="456">
        <f>+AV7*0.085</f>
        <v>0</v>
      </c>
      <c r="AY7" s="460">
        <f>+AS7+AV7</f>
        <v>0</v>
      </c>
    </row>
    <row r="8" spans="1:53" ht="14">
      <c r="A8" s="402" t="s">
        <v>1000</v>
      </c>
      <c r="B8" s="404">
        <v>15081554</v>
      </c>
      <c r="C8" s="404"/>
      <c r="D8" s="405"/>
      <c r="E8" s="405" t="s">
        <v>1039</v>
      </c>
      <c r="F8" s="490"/>
      <c r="G8" s="490"/>
      <c r="H8" s="490"/>
      <c r="I8" s="567">
        <v>51.51</v>
      </c>
      <c r="J8" s="490"/>
      <c r="K8" s="490"/>
      <c r="L8" s="490"/>
      <c r="M8" s="482"/>
      <c r="N8" s="482"/>
      <c r="O8" s="482"/>
      <c r="P8" s="482"/>
      <c r="Q8" s="482"/>
      <c r="R8" s="586">
        <f t="shared" si="4"/>
        <v>51.51</v>
      </c>
      <c r="S8" s="412">
        <f t="shared" si="5"/>
        <v>51.51</v>
      </c>
      <c r="T8" s="412">
        <v>0</v>
      </c>
      <c r="U8" s="579">
        <f t="shared" si="6"/>
        <v>51.51</v>
      </c>
      <c r="W8" s="9">
        <f t="shared" si="2"/>
        <v>0</v>
      </c>
      <c r="X8" s="9">
        <f t="shared" si="2"/>
        <v>0</v>
      </c>
      <c r="Y8" s="9">
        <f t="shared" si="2"/>
        <v>0</v>
      </c>
      <c r="Z8" s="9">
        <f t="shared" si="2"/>
        <v>0</v>
      </c>
      <c r="AA8" s="9">
        <f t="shared" si="2"/>
        <v>0</v>
      </c>
      <c r="AB8" s="9">
        <f t="shared" si="2"/>
        <v>0</v>
      </c>
      <c r="AC8" s="9">
        <f t="shared" si="2"/>
        <v>0</v>
      </c>
      <c r="AD8" s="9">
        <f t="shared" si="2"/>
        <v>0</v>
      </c>
      <c r="AE8" s="9">
        <f t="shared" si="2"/>
        <v>0</v>
      </c>
      <c r="AF8" s="9">
        <f t="shared" si="2"/>
        <v>0</v>
      </c>
      <c r="AG8" s="9">
        <f t="shared" si="2"/>
        <v>0</v>
      </c>
      <c r="AH8" s="9">
        <f t="shared" si="2"/>
        <v>0</v>
      </c>
      <c r="AI8" s="9">
        <f t="shared" si="2"/>
        <v>0</v>
      </c>
      <c r="AJ8" s="9">
        <f t="shared" si="2"/>
        <v>51.51</v>
      </c>
      <c r="AK8" s="9">
        <f t="shared" si="2"/>
        <v>0</v>
      </c>
      <c r="AL8" s="9">
        <f t="shared" si="2"/>
        <v>0</v>
      </c>
      <c r="AM8" s="365">
        <f t="shared" si="3"/>
        <v>51.51</v>
      </c>
      <c r="AN8" s="412">
        <f t="shared" si="7"/>
        <v>51.51</v>
      </c>
      <c r="AO8" s="412">
        <f t="shared" si="8"/>
        <v>0</v>
      </c>
      <c r="AQ8" t="s">
        <v>958</v>
      </c>
      <c r="AR8" s="458">
        <f>+X2</f>
        <v>997307.28</v>
      </c>
      <c r="AS8" s="456">
        <f t="shared" ref="AS8:AS18" si="9">+AR8*11.764706</f>
        <v>11733026.940859681</v>
      </c>
      <c r="AT8" s="525">
        <f>+AS8/$AS$20</f>
        <v>6.4113583933277776E-2</v>
      </c>
      <c r="AU8" s="458"/>
      <c r="AY8" s="460"/>
    </row>
    <row r="9" spans="1:53" ht="14">
      <c r="A9" s="402" t="s">
        <v>705</v>
      </c>
      <c r="B9" s="404">
        <v>15037169</v>
      </c>
      <c r="C9" s="404">
        <v>37</v>
      </c>
      <c r="D9" s="405"/>
      <c r="E9" s="405" t="s">
        <v>939</v>
      </c>
      <c r="F9" s="482"/>
      <c r="G9" s="482"/>
      <c r="H9" s="482"/>
      <c r="I9" s="482"/>
      <c r="J9" s="482"/>
      <c r="K9" s="482"/>
      <c r="L9" s="482"/>
      <c r="M9" s="482"/>
      <c r="N9" s="482"/>
      <c r="O9" s="482"/>
      <c r="P9" s="482"/>
      <c r="Q9" s="482"/>
      <c r="R9" s="586">
        <f t="shared" si="4"/>
        <v>0</v>
      </c>
      <c r="S9" s="412">
        <f t="shared" si="5"/>
        <v>0</v>
      </c>
      <c r="T9" s="412">
        <f>+'2023'!R8</f>
        <v>0</v>
      </c>
      <c r="U9" s="579">
        <f t="shared" si="6"/>
        <v>0</v>
      </c>
      <c r="W9" s="9">
        <f t="shared" si="2"/>
        <v>0</v>
      </c>
      <c r="X9" s="9">
        <f t="shared" si="2"/>
        <v>0</v>
      </c>
      <c r="Y9" s="9">
        <f t="shared" si="2"/>
        <v>0</v>
      </c>
      <c r="Z9" s="9">
        <f t="shared" si="2"/>
        <v>0</v>
      </c>
      <c r="AA9" s="9">
        <f t="shared" si="2"/>
        <v>0</v>
      </c>
      <c r="AB9" s="9">
        <f t="shared" si="2"/>
        <v>0</v>
      </c>
      <c r="AC9" s="9">
        <f t="shared" si="2"/>
        <v>0</v>
      </c>
      <c r="AD9" s="9">
        <f t="shared" si="2"/>
        <v>0</v>
      </c>
      <c r="AE9" s="9">
        <f t="shared" si="2"/>
        <v>0</v>
      </c>
      <c r="AF9" s="9">
        <f t="shared" si="2"/>
        <v>0</v>
      </c>
      <c r="AG9" s="9">
        <f t="shared" si="2"/>
        <v>0</v>
      </c>
      <c r="AH9" s="9">
        <f t="shared" si="2"/>
        <v>0</v>
      </c>
      <c r="AI9" s="9">
        <f t="shared" si="2"/>
        <v>0</v>
      </c>
      <c r="AJ9" s="9">
        <f t="shared" si="2"/>
        <v>0</v>
      </c>
      <c r="AK9" s="9">
        <f t="shared" si="2"/>
        <v>0</v>
      </c>
      <c r="AL9" s="9">
        <f t="shared" si="2"/>
        <v>0</v>
      </c>
      <c r="AM9" s="365">
        <f t="shared" si="3"/>
        <v>0</v>
      </c>
      <c r="AN9" s="412">
        <f t="shared" si="7"/>
        <v>0</v>
      </c>
      <c r="AO9" s="412">
        <f t="shared" si="8"/>
        <v>0</v>
      </c>
      <c r="AQ9" t="s">
        <v>959</v>
      </c>
      <c r="AR9" s="458">
        <f>+Y2</f>
        <v>170436.26</v>
      </c>
      <c r="AS9" s="456">
        <f t="shared" si="9"/>
        <v>2005132.4906395602</v>
      </c>
      <c r="AT9" s="525">
        <f t="shared" ref="AT9:AT19" si="10">+AS9/$AS$20</f>
        <v>1.0956783009529375E-2</v>
      </c>
      <c r="AU9" s="458">
        <f>+'2020'!AE118</f>
        <v>274233.39</v>
      </c>
      <c r="AV9" s="456">
        <f t="shared" ref="AV9:AV18" si="11">+AU9*11.764706</f>
        <v>3226275.2087333403</v>
      </c>
      <c r="AW9" s="456">
        <f t="shared" ref="AW9:AW18" si="12">+AV9*0.085</f>
        <v>274233.39274233393</v>
      </c>
      <c r="AY9" s="460">
        <f>+AS8+AV9</f>
        <v>14959302.149593022</v>
      </c>
      <c r="BA9" s="458">
        <f>+AR8+AU9</f>
        <v>1271540.67</v>
      </c>
    </row>
    <row r="10" spans="1:53" ht="14">
      <c r="A10" s="402" t="s">
        <v>533</v>
      </c>
      <c r="B10" s="404">
        <v>15076160</v>
      </c>
      <c r="C10" s="404"/>
      <c r="D10" s="405"/>
      <c r="E10" s="405" t="s">
        <v>1016</v>
      </c>
      <c r="F10" s="482"/>
      <c r="G10" s="482"/>
      <c r="H10" s="482"/>
      <c r="I10" s="482"/>
      <c r="J10" s="482"/>
      <c r="K10" s="482"/>
      <c r="L10" s="482"/>
      <c r="M10" s="482"/>
      <c r="N10" s="482"/>
      <c r="O10" s="482"/>
      <c r="P10" s="482"/>
      <c r="Q10" s="482"/>
      <c r="R10" s="586">
        <f t="shared" si="4"/>
        <v>0</v>
      </c>
      <c r="S10" s="412">
        <f t="shared" si="5"/>
        <v>0</v>
      </c>
      <c r="T10" s="412">
        <f>+'2023'!R9</f>
        <v>22666.57</v>
      </c>
      <c r="U10" s="579">
        <f t="shared" si="6"/>
        <v>0</v>
      </c>
      <c r="W10" s="9">
        <f t="shared" si="2"/>
        <v>0</v>
      </c>
      <c r="X10" s="9">
        <f t="shared" si="2"/>
        <v>0</v>
      </c>
      <c r="Y10" s="9">
        <f t="shared" si="2"/>
        <v>0</v>
      </c>
      <c r="Z10" s="9">
        <f t="shared" si="2"/>
        <v>0</v>
      </c>
      <c r="AA10" s="9">
        <f t="shared" si="2"/>
        <v>0</v>
      </c>
      <c r="AB10" s="9">
        <f t="shared" si="2"/>
        <v>0</v>
      </c>
      <c r="AC10" s="9">
        <f t="shared" si="2"/>
        <v>0</v>
      </c>
      <c r="AD10" s="9">
        <f t="shared" si="2"/>
        <v>0</v>
      </c>
      <c r="AE10" s="9">
        <f t="shared" si="2"/>
        <v>0</v>
      </c>
      <c r="AF10" s="9">
        <f t="shared" si="2"/>
        <v>0</v>
      </c>
      <c r="AG10" s="9">
        <f t="shared" si="2"/>
        <v>0</v>
      </c>
      <c r="AH10" s="9">
        <f t="shared" si="2"/>
        <v>0</v>
      </c>
      <c r="AI10" s="9">
        <f t="shared" si="2"/>
        <v>0</v>
      </c>
      <c r="AJ10" s="9">
        <f t="shared" si="2"/>
        <v>0</v>
      </c>
      <c r="AK10" s="9">
        <f t="shared" si="2"/>
        <v>0</v>
      </c>
      <c r="AL10" s="9">
        <f t="shared" si="2"/>
        <v>0</v>
      </c>
      <c r="AM10" s="365">
        <f t="shared" si="3"/>
        <v>0</v>
      </c>
      <c r="AN10" s="412">
        <f t="shared" si="7"/>
        <v>0</v>
      </c>
      <c r="AO10" s="412">
        <f t="shared" si="8"/>
        <v>0</v>
      </c>
      <c r="AQ10" t="s">
        <v>960</v>
      </c>
      <c r="AR10" s="458">
        <f>+Z2</f>
        <v>3195530.8699999992</v>
      </c>
      <c r="AS10" s="456">
        <f t="shared" si="9"/>
        <v>37594481.199474208</v>
      </c>
      <c r="AT10" s="525">
        <f t="shared" si="10"/>
        <v>0.20543010239043386</v>
      </c>
      <c r="AU10" s="458"/>
      <c r="AY10" s="460"/>
      <c r="BA10" s="458"/>
    </row>
    <row r="11" spans="1:53" ht="14">
      <c r="A11" s="402" t="s">
        <v>530</v>
      </c>
      <c r="B11" s="404">
        <v>15071882</v>
      </c>
      <c r="C11" s="404">
        <v>95</v>
      </c>
      <c r="D11" s="405"/>
      <c r="E11" s="405" t="s">
        <v>973</v>
      </c>
      <c r="F11" s="558">
        <v>17541.89</v>
      </c>
      <c r="G11" s="561">
        <v>13703.77</v>
      </c>
      <c r="H11" s="563">
        <v>17226.13</v>
      </c>
      <c r="I11" s="567">
        <v>20417.28</v>
      </c>
      <c r="J11" s="572">
        <v>13143.38</v>
      </c>
      <c r="K11" s="572">
        <v>10018.950000000001</v>
      </c>
      <c r="L11" s="576">
        <v>7924.88</v>
      </c>
      <c r="M11" s="583">
        <v>8948.74</v>
      </c>
      <c r="N11" s="585">
        <v>13078.18</v>
      </c>
      <c r="O11" s="482"/>
      <c r="P11" s="482"/>
      <c r="Q11" s="482"/>
      <c r="R11" s="586">
        <f t="shared" si="4"/>
        <v>122003.20000000001</v>
      </c>
      <c r="S11" s="412">
        <f t="shared" si="5"/>
        <v>92051.400000000009</v>
      </c>
      <c r="T11" s="412">
        <f>+'2023'!R10</f>
        <v>85568.6</v>
      </c>
      <c r="U11" s="579">
        <f t="shared" si="6"/>
        <v>122003.20000000001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122003.20000000001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9">
        <f t="shared" si="2"/>
        <v>0</v>
      </c>
      <c r="AK11" s="9">
        <f t="shared" si="2"/>
        <v>0</v>
      </c>
      <c r="AL11" s="9">
        <f t="shared" si="2"/>
        <v>0</v>
      </c>
      <c r="AM11" s="365">
        <f t="shared" si="3"/>
        <v>122003.20000000001</v>
      </c>
      <c r="AN11" s="412">
        <f t="shared" si="7"/>
        <v>122003.20000000001</v>
      </c>
      <c r="AO11" s="412">
        <f t="shared" si="8"/>
        <v>0</v>
      </c>
      <c r="AQ11" t="s">
        <v>961</v>
      </c>
      <c r="AR11" s="458">
        <f>+AB2</f>
        <v>1789853.54</v>
      </c>
      <c r="AS11" s="456">
        <f t="shared" ref="AS11" si="13">+AR11*11.764706</f>
        <v>21057100.681159239</v>
      </c>
      <c r="AT11" s="525">
        <f t="shared" si="10"/>
        <v>0.11506375965195437</v>
      </c>
      <c r="AU11" s="458"/>
      <c r="AY11" s="460"/>
      <c r="BA11" s="458"/>
    </row>
    <row r="12" spans="1:53" ht="14">
      <c r="A12" s="402" t="s">
        <v>533</v>
      </c>
      <c r="B12" s="403">
        <v>15008670</v>
      </c>
      <c r="C12" s="403">
        <v>100</v>
      </c>
      <c r="D12" s="402" t="s">
        <v>114</v>
      </c>
      <c r="E12" s="402" t="s">
        <v>114</v>
      </c>
      <c r="F12" s="558">
        <v>8375.7099999999991</v>
      </c>
      <c r="G12" s="561">
        <v>5744.86</v>
      </c>
      <c r="H12" s="563">
        <v>4712.5</v>
      </c>
      <c r="I12" s="567">
        <v>6127.81</v>
      </c>
      <c r="J12" s="568">
        <v>3347.11</v>
      </c>
      <c r="K12" s="572">
        <v>3975.52</v>
      </c>
      <c r="L12" s="576">
        <v>4602.95</v>
      </c>
      <c r="M12" s="583">
        <v>1914.61</v>
      </c>
      <c r="N12" s="585">
        <v>2344.65</v>
      </c>
      <c r="O12" s="482"/>
      <c r="P12" s="482"/>
      <c r="Q12" s="482"/>
      <c r="R12" s="586">
        <f t="shared" si="4"/>
        <v>41145.72</v>
      </c>
      <c r="S12" s="412">
        <f t="shared" si="5"/>
        <v>32283.510000000002</v>
      </c>
      <c r="T12" s="412">
        <f>+'2023'!R11</f>
        <v>31086.54</v>
      </c>
      <c r="U12" s="579">
        <f t="shared" si="6"/>
        <v>41145.72</v>
      </c>
      <c r="W12" s="9">
        <f t="shared" si="2"/>
        <v>0</v>
      </c>
      <c r="X12" s="9">
        <f t="shared" si="2"/>
        <v>0</v>
      </c>
      <c r="Y12" s="9">
        <f t="shared" si="2"/>
        <v>0</v>
      </c>
      <c r="Z12" s="9">
        <f t="shared" si="2"/>
        <v>0</v>
      </c>
      <c r="AA12" s="9">
        <f t="shared" si="2"/>
        <v>0</v>
      </c>
      <c r="AB12" s="9">
        <f t="shared" si="2"/>
        <v>0</v>
      </c>
      <c r="AC12" s="9">
        <f t="shared" si="2"/>
        <v>0</v>
      </c>
      <c r="AD12" s="9">
        <f t="shared" si="2"/>
        <v>0</v>
      </c>
      <c r="AE12" s="9">
        <f t="shared" si="2"/>
        <v>0</v>
      </c>
      <c r="AF12" s="9">
        <f t="shared" si="2"/>
        <v>41145.72</v>
      </c>
      <c r="AG12" s="9">
        <f t="shared" si="2"/>
        <v>0</v>
      </c>
      <c r="AH12" s="9">
        <f t="shared" si="2"/>
        <v>0</v>
      </c>
      <c r="AI12" s="9">
        <f t="shared" si="2"/>
        <v>0</v>
      </c>
      <c r="AJ12" s="9">
        <f t="shared" si="2"/>
        <v>0</v>
      </c>
      <c r="AK12" s="9">
        <f t="shared" si="2"/>
        <v>0</v>
      </c>
      <c r="AL12" s="9">
        <f t="shared" si="2"/>
        <v>0</v>
      </c>
      <c r="AM12" s="365">
        <f t="shared" si="3"/>
        <v>41145.72</v>
      </c>
      <c r="AN12" s="412">
        <f t="shared" si="7"/>
        <v>41145.72</v>
      </c>
      <c r="AO12" s="412">
        <f t="shared" si="8"/>
        <v>0</v>
      </c>
      <c r="AQ12" t="s">
        <v>663</v>
      </c>
      <c r="AR12" s="458">
        <f>+AD2</f>
        <v>2377883.5800000005</v>
      </c>
      <c r="AS12" s="456">
        <f t="shared" si="9"/>
        <v>27975101.220927488</v>
      </c>
      <c r="AT12" s="525">
        <f t="shared" si="10"/>
        <v>0.15286626453773916</v>
      </c>
      <c r="AU12" s="458">
        <f>+'2020'!AF118</f>
        <v>92074.87000000001</v>
      </c>
      <c r="AV12" s="456">
        <f t="shared" si="11"/>
        <v>1083233.7755382201</v>
      </c>
      <c r="AW12" s="456">
        <f t="shared" si="12"/>
        <v>92074.870920748712</v>
      </c>
      <c r="AY12" s="460">
        <f>+AS9+AV12</f>
        <v>3088366.26617778</v>
      </c>
      <c r="BA12" s="458">
        <f>+AR9+AU12</f>
        <v>262511.13</v>
      </c>
    </row>
    <row r="13" spans="1:53" ht="14">
      <c r="A13" s="402" t="s">
        <v>664</v>
      </c>
      <c r="B13" s="403">
        <v>70000000</v>
      </c>
      <c r="C13" s="403">
        <v>42</v>
      </c>
      <c r="D13" s="402" t="s">
        <v>229</v>
      </c>
      <c r="E13" s="402" t="s">
        <v>229</v>
      </c>
      <c r="F13" s="558">
        <v>2006.85</v>
      </c>
      <c r="G13" s="561">
        <v>1979.65</v>
      </c>
      <c r="H13" s="563">
        <v>2023.94</v>
      </c>
      <c r="I13" s="567">
        <v>2074.85</v>
      </c>
      <c r="J13" s="568">
        <v>2098.23</v>
      </c>
      <c r="K13" s="572">
        <v>2172.09</v>
      </c>
      <c r="L13" s="576">
        <v>2048.7600000000002</v>
      </c>
      <c r="M13" s="583">
        <v>1985.18</v>
      </c>
      <c r="N13" s="585">
        <v>2157.13</v>
      </c>
      <c r="O13" s="482"/>
      <c r="P13" s="482"/>
      <c r="Q13" s="482"/>
      <c r="R13" s="586">
        <f t="shared" si="4"/>
        <v>18546.68</v>
      </c>
      <c r="S13" s="412">
        <f t="shared" si="5"/>
        <v>12355.61</v>
      </c>
      <c r="T13" s="412">
        <f>+'2023'!R12</f>
        <v>11066.51</v>
      </c>
      <c r="U13" s="579">
        <f t="shared" si="6"/>
        <v>18546.68</v>
      </c>
      <c r="W13" s="9">
        <f t="shared" si="2"/>
        <v>0</v>
      </c>
      <c r="X13" s="9">
        <f t="shared" si="2"/>
        <v>0</v>
      </c>
      <c r="Y13" s="9">
        <f t="shared" si="2"/>
        <v>0</v>
      </c>
      <c r="Z13" s="9">
        <f t="shared" si="2"/>
        <v>0</v>
      </c>
      <c r="AA13" s="9">
        <f t="shared" si="2"/>
        <v>0</v>
      </c>
      <c r="AB13" s="9">
        <f t="shared" si="2"/>
        <v>0</v>
      </c>
      <c r="AC13" s="9">
        <f t="shared" si="2"/>
        <v>0</v>
      </c>
      <c r="AD13" s="9">
        <f t="shared" si="2"/>
        <v>0</v>
      </c>
      <c r="AE13" s="9">
        <f t="shared" si="2"/>
        <v>0</v>
      </c>
      <c r="AF13" s="9">
        <f t="shared" si="2"/>
        <v>0</v>
      </c>
      <c r="AG13" s="9">
        <f t="shared" si="2"/>
        <v>0</v>
      </c>
      <c r="AH13" s="9">
        <f t="shared" si="2"/>
        <v>0</v>
      </c>
      <c r="AI13" s="9">
        <f t="shared" si="2"/>
        <v>18546.68</v>
      </c>
      <c r="AJ13" s="9">
        <f t="shared" si="2"/>
        <v>0</v>
      </c>
      <c r="AK13" s="9">
        <f t="shared" si="2"/>
        <v>0</v>
      </c>
      <c r="AL13" s="9">
        <f t="shared" si="2"/>
        <v>0</v>
      </c>
      <c r="AM13" s="365">
        <f t="shared" si="3"/>
        <v>18546.68</v>
      </c>
      <c r="AN13" s="412">
        <f t="shared" si="7"/>
        <v>18546.68</v>
      </c>
      <c r="AO13" s="412">
        <f t="shared" si="8"/>
        <v>0</v>
      </c>
      <c r="AQ13" t="s">
        <v>962</v>
      </c>
      <c r="AR13" s="458">
        <f>+AE2</f>
        <v>1451070.47</v>
      </c>
      <c r="AS13" s="456">
        <f t="shared" si="9"/>
        <v>17071417.464831822</v>
      </c>
      <c r="AT13" s="525">
        <f t="shared" si="10"/>
        <v>9.328451745729345E-2</v>
      </c>
      <c r="AU13" s="458">
        <f>+'2020'!AG118</f>
        <v>609502.32999999984</v>
      </c>
      <c r="AV13" s="456">
        <f t="shared" si="11"/>
        <v>7170615.7187649785</v>
      </c>
      <c r="AW13" s="456">
        <f t="shared" si="12"/>
        <v>609502.3360950232</v>
      </c>
      <c r="AY13" s="460">
        <f>+AS10+AV13</f>
        <v>44765096.918239184</v>
      </c>
      <c r="BA13" s="458">
        <f>+AR10+AU13</f>
        <v>3805033.1999999993</v>
      </c>
    </row>
    <row r="14" spans="1:53" ht="14">
      <c r="A14" s="402" t="s">
        <v>664</v>
      </c>
      <c r="B14" s="403">
        <v>15051606</v>
      </c>
      <c r="C14" s="403">
        <v>250</v>
      </c>
      <c r="D14" s="402" t="s">
        <v>639</v>
      </c>
      <c r="E14" s="402" t="s">
        <v>940</v>
      </c>
      <c r="F14" s="561">
        <v>44810.33</v>
      </c>
      <c r="G14" s="561">
        <v>30703.21</v>
      </c>
      <c r="H14" s="567">
        <v>55207.9</v>
      </c>
      <c r="I14" s="567">
        <v>77401.89</v>
      </c>
      <c r="J14" s="572">
        <v>38613.54</v>
      </c>
      <c r="K14" s="576">
        <v>23227.54</v>
      </c>
      <c r="L14" s="583">
        <v>18003.8</v>
      </c>
      <c r="M14" s="585">
        <v>26661.78</v>
      </c>
      <c r="N14" s="585">
        <v>38195.599999999999</v>
      </c>
      <c r="O14" s="482"/>
      <c r="P14" s="482"/>
      <c r="Q14" s="482"/>
      <c r="R14" s="586">
        <f t="shared" si="4"/>
        <v>352825.58999999997</v>
      </c>
      <c r="S14" s="412">
        <f t="shared" si="5"/>
        <v>269964.41000000003</v>
      </c>
      <c r="T14" s="412">
        <f>+'2023'!R13</f>
        <v>258815.87000000002</v>
      </c>
      <c r="U14" s="579">
        <f t="shared" si="6"/>
        <v>352825.58999999997</v>
      </c>
      <c r="W14" s="9">
        <f t="shared" ref="W14:AL19" si="14">+IF($A14=W$3,$U14,0)</f>
        <v>0</v>
      </c>
      <c r="X14" s="9">
        <f t="shared" si="14"/>
        <v>0</v>
      </c>
      <c r="Y14" s="9">
        <f t="shared" si="14"/>
        <v>0</v>
      </c>
      <c r="Z14" s="9">
        <f t="shared" si="14"/>
        <v>0</v>
      </c>
      <c r="AA14" s="9">
        <f t="shared" si="14"/>
        <v>0</v>
      </c>
      <c r="AB14" s="9">
        <f t="shared" si="14"/>
        <v>0</v>
      </c>
      <c r="AC14" s="9">
        <f t="shared" si="14"/>
        <v>0</v>
      </c>
      <c r="AD14" s="9">
        <f t="shared" si="14"/>
        <v>0</v>
      </c>
      <c r="AE14" s="9">
        <f t="shared" si="14"/>
        <v>0</v>
      </c>
      <c r="AF14" s="9">
        <f t="shared" si="14"/>
        <v>0</v>
      </c>
      <c r="AG14" s="9">
        <f t="shared" si="14"/>
        <v>0</v>
      </c>
      <c r="AH14" s="9">
        <f t="shared" si="14"/>
        <v>0</v>
      </c>
      <c r="AI14" s="9">
        <f t="shared" si="14"/>
        <v>352825.58999999997</v>
      </c>
      <c r="AJ14" s="9">
        <f t="shared" si="14"/>
        <v>0</v>
      </c>
      <c r="AK14" s="9">
        <f t="shared" si="14"/>
        <v>0</v>
      </c>
      <c r="AL14" s="9">
        <f t="shared" si="14"/>
        <v>0</v>
      </c>
      <c r="AM14" s="365">
        <f t="shared" si="3"/>
        <v>352825.58999999997</v>
      </c>
      <c r="AN14" s="412">
        <f t="shared" si="7"/>
        <v>352825.58999999997</v>
      </c>
      <c r="AO14" s="412">
        <f t="shared" si="8"/>
        <v>0</v>
      </c>
      <c r="AQ14" t="s">
        <v>963</v>
      </c>
      <c r="AR14" s="458">
        <f>+AF2</f>
        <v>515516.50000000006</v>
      </c>
      <c r="AS14" s="456">
        <f t="shared" si="9"/>
        <v>6064900.060649001</v>
      </c>
      <c r="AT14" s="525">
        <f t="shared" si="10"/>
        <v>3.3140849419789252E-2</v>
      </c>
      <c r="AU14" s="458">
        <f>+'2020'!AK118</f>
        <v>665033.63000000012</v>
      </c>
      <c r="AV14" s="456">
        <f t="shared" si="11"/>
        <v>7823925.1370627815</v>
      </c>
      <c r="AW14" s="456">
        <f t="shared" si="12"/>
        <v>665033.63665033644</v>
      </c>
      <c r="AY14" s="460">
        <f>+AS12+AV14</f>
        <v>35799026.357990272</v>
      </c>
      <c r="BA14" s="458">
        <f>+AR12+AU14</f>
        <v>3042917.2100000009</v>
      </c>
    </row>
    <row r="15" spans="1:53" ht="14">
      <c r="A15" s="402" t="s">
        <v>535</v>
      </c>
      <c r="B15" s="403">
        <v>7003201</v>
      </c>
      <c r="C15" s="403">
        <v>80</v>
      </c>
      <c r="D15" s="402" t="s">
        <v>525</v>
      </c>
      <c r="E15" s="402" t="s">
        <v>385</v>
      </c>
      <c r="F15" s="558">
        <v>13276.83</v>
      </c>
      <c r="G15" s="561">
        <v>11806.8</v>
      </c>
      <c r="H15" s="563">
        <v>12752.74</v>
      </c>
      <c r="I15" s="567">
        <v>16119.25</v>
      </c>
      <c r="J15" s="572">
        <v>10749.11</v>
      </c>
      <c r="K15" s="572">
        <v>8217.82</v>
      </c>
      <c r="L15" s="576">
        <v>7030.59</v>
      </c>
      <c r="M15" s="583">
        <v>6635.39</v>
      </c>
      <c r="N15" s="585">
        <v>9270.33</v>
      </c>
      <c r="O15" s="482"/>
      <c r="P15" s="482"/>
      <c r="Q15" s="482"/>
      <c r="R15" s="586">
        <f t="shared" si="4"/>
        <v>95858.859999999986</v>
      </c>
      <c r="S15" s="412">
        <f t="shared" si="5"/>
        <v>72922.549999999988</v>
      </c>
      <c r="T15" s="412">
        <f>+'2023'!R14</f>
        <v>73152.160000000003</v>
      </c>
      <c r="U15" s="579">
        <f t="shared" si="6"/>
        <v>95858.859999999986</v>
      </c>
      <c r="W15" s="9">
        <f t="shared" si="14"/>
        <v>0</v>
      </c>
      <c r="X15" s="9">
        <f t="shared" si="14"/>
        <v>0</v>
      </c>
      <c r="Y15" s="9">
        <f t="shared" si="14"/>
        <v>0</v>
      </c>
      <c r="Z15" s="9">
        <f t="shared" si="14"/>
        <v>0</v>
      </c>
      <c r="AA15" s="9">
        <f t="shared" si="14"/>
        <v>0</v>
      </c>
      <c r="AB15" s="9">
        <f t="shared" si="14"/>
        <v>0</v>
      </c>
      <c r="AC15" s="9">
        <f t="shared" si="14"/>
        <v>0</v>
      </c>
      <c r="AD15" s="9">
        <f t="shared" si="14"/>
        <v>95858.859999999986</v>
      </c>
      <c r="AE15" s="9">
        <f t="shared" si="14"/>
        <v>0</v>
      </c>
      <c r="AF15" s="9">
        <f t="shared" si="14"/>
        <v>0</v>
      </c>
      <c r="AG15" s="9">
        <f t="shared" si="14"/>
        <v>0</v>
      </c>
      <c r="AH15" s="9">
        <f t="shared" si="14"/>
        <v>0</v>
      </c>
      <c r="AI15" s="9">
        <f t="shared" si="14"/>
        <v>0</v>
      </c>
      <c r="AJ15" s="9">
        <f t="shared" si="14"/>
        <v>0</v>
      </c>
      <c r="AK15" s="9">
        <f t="shared" si="14"/>
        <v>0</v>
      </c>
      <c r="AL15" s="9">
        <f t="shared" si="14"/>
        <v>0</v>
      </c>
      <c r="AM15" s="365">
        <f t="shared" si="3"/>
        <v>95858.859999999986</v>
      </c>
      <c r="AN15" s="412">
        <f t="shared" si="7"/>
        <v>95858.859999999986</v>
      </c>
      <c r="AO15" s="412">
        <f t="shared" si="8"/>
        <v>0</v>
      </c>
      <c r="AQ15" t="s">
        <v>964</v>
      </c>
      <c r="AR15" s="458">
        <f>+AH2</f>
        <v>790209.3</v>
      </c>
      <c r="AS15" s="456">
        <f t="shared" si="9"/>
        <v>9296580.0929658003</v>
      </c>
      <c r="AT15" s="525">
        <f t="shared" si="10"/>
        <v>5.0799940295639556E-2</v>
      </c>
      <c r="AU15" s="458">
        <f>+'2020'!AL118</f>
        <v>370955.83</v>
      </c>
      <c r="AV15" s="456">
        <f t="shared" si="11"/>
        <v>4364186.2789359801</v>
      </c>
      <c r="AW15" s="456">
        <f t="shared" si="12"/>
        <v>370955.83370955836</v>
      </c>
      <c r="AY15" s="460">
        <f>+AS13+AV15</f>
        <v>21435603.743767802</v>
      </c>
      <c r="BA15" s="458">
        <f>+AR13+AU15</f>
        <v>1822026.3</v>
      </c>
    </row>
    <row r="16" spans="1:53" ht="14">
      <c r="A16" s="402" t="s">
        <v>660</v>
      </c>
      <c r="B16" s="403">
        <v>15070988</v>
      </c>
      <c r="C16" s="403">
        <v>105</v>
      </c>
      <c r="D16" s="402"/>
      <c r="E16" s="402" t="s">
        <v>974</v>
      </c>
      <c r="F16" s="558">
        <v>18412.61</v>
      </c>
      <c r="G16" s="561">
        <v>19325.560000000001</v>
      </c>
      <c r="H16" s="563">
        <v>22806.83</v>
      </c>
      <c r="I16" s="567">
        <v>25341.78</v>
      </c>
      <c r="J16" s="568">
        <v>16624.5</v>
      </c>
      <c r="K16" s="572">
        <v>10858.6</v>
      </c>
      <c r="L16" s="576">
        <v>15571.55</v>
      </c>
      <c r="M16" s="583">
        <v>13682.64</v>
      </c>
      <c r="N16" s="585">
        <v>18010.02</v>
      </c>
      <c r="O16" s="482"/>
      <c r="P16" s="482"/>
      <c r="Q16" s="482"/>
      <c r="R16" s="586">
        <f t="shared" si="4"/>
        <v>160634.09</v>
      </c>
      <c r="S16" s="412">
        <f t="shared" si="5"/>
        <v>113369.88</v>
      </c>
      <c r="T16" s="412">
        <f>+'2023'!R15</f>
        <v>109941.15000000001</v>
      </c>
      <c r="U16" s="579">
        <f t="shared" si="6"/>
        <v>160634.09</v>
      </c>
      <c r="W16" s="9">
        <f t="shared" si="14"/>
        <v>0</v>
      </c>
      <c r="X16" s="9">
        <f t="shared" si="14"/>
        <v>0</v>
      </c>
      <c r="Y16" s="9">
        <f t="shared" si="14"/>
        <v>0</v>
      </c>
      <c r="Z16" s="9">
        <f t="shared" si="14"/>
        <v>0</v>
      </c>
      <c r="AA16" s="9">
        <f t="shared" si="14"/>
        <v>0</v>
      </c>
      <c r="AB16" s="9">
        <f t="shared" si="14"/>
        <v>0</v>
      </c>
      <c r="AC16" s="9">
        <f t="shared" si="14"/>
        <v>0</v>
      </c>
      <c r="AD16" s="9">
        <f t="shared" si="14"/>
        <v>0</v>
      </c>
      <c r="AE16" s="9">
        <f t="shared" si="14"/>
        <v>0</v>
      </c>
      <c r="AF16" s="9">
        <f t="shared" si="14"/>
        <v>0</v>
      </c>
      <c r="AG16" s="9">
        <f t="shared" si="14"/>
        <v>0</v>
      </c>
      <c r="AH16" s="9">
        <f t="shared" si="14"/>
        <v>0</v>
      </c>
      <c r="AI16" s="9">
        <f t="shared" si="14"/>
        <v>160634.09</v>
      </c>
      <c r="AJ16" s="9">
        <f t="shared" si="14"/>
        <v>0</v>
      </c>
      <c r="AK16" s="9">
        <f t="shared" si="14"/>
        <v>0</v>
      </c>
      <c r="AL16" s="9">
        <f t="shared" si="14"/>
        <v>0</v>
      </c>
      <c r="AM16" s="365">
        <f t="shared" si="3"/>
        <v>160634.09</v>
      </c>
      <c r="AN16" s="412">
        <f t="shared" si="7"/>
        <v>160634.09</v>
      </c>
      <c r="AO16" s="412">
        <f t="shared" si="8"/>
        <v>0</v>
      </c>
      <c r="AQ16" t="s">
        <v>664</v>
      </c>
      <c r="AR16" s="458">
        <f>+AI2</f>
        <v>1205807.92</v>
      </c>
      <c r="AS16" s="456">
        <f t="shared" si="9"/>
        <v>14185975.67127152</v>
      </c>
      <c r="AT16" s="525">
        <f t="shared" si="10"/>
        <v>7.7517399939496176E-2</v>
      </c>
      <c r="AU16" s="458"/>
      <c r="AY16" s="460"/>
      <c r="BA16" s="458"/>
    </row>
    <row r="17" spans="1:53" ht="14">
      <c r="A17" s="402" t="s">
        <v>662</v>
      </c>
      <c r="B17" s="404">
        <v>7000200</v>
      </c>
      <c r="C17" s="404">
        <v>47</v>
      </c>
      <c r="D17" s="405" t="s">
        <v>230</v>
      </c>
      <c r="E17" s="405" t="s">
        <v>230</v>
      </c>
      <c r="F17" s="482"/>
      <c r="G17" s="482"/>
      <c r="H17" s="482"/>
      <c r="I17" s="482"/>
      <c r="J17" s="482"/>
      <c r="K17" s="482"/>
      <c r="L17" s="482"/>
      <c r="M17" s="482"/>
      <c r="N17" s="482"/>
      <c r="O17" s="482"/>
      <c r="P17" s="482"/>
      <c r="Q17" s="482"/>
      <c r="R17" s="586">
        <f t="shared" si="4"/>
        <v>0</v>
      </c>
      <c r="S17" s="412">
        <f t="shared" si="5"/>
        <v>0</v>
      </c>
      <c r="T17" s="412">
        <f>+'2023'!R16</f>
        <v>0</v>
      </c>
      <c r="U17" s="579">
        <f t="shared" si="6"/>
        <v>0</v>
      </c>
      <c r="W17" s="9">
        <f t="shared" si="14"/>
        <v>0</v>
      </c>
      <c r="X17" s="9">
        <f t="shared" si="14"/>
        <v>0</v>
      </c>
      <c r="Y17" s="9">
        <f t="shared" si="14"/>
        <v>0</v>
      </c>
      <c r="Z17" s="9">
        <f t="shared" si="14"/>
        <v>0</v>
      </c>
      <c r="AA17" s="9">
        <f t="shared" si="14"/>
        <v>0</v>
      </c>
      <c r="AB17" s="9">
        <f t="shared" si="14"/>
        <v>0</v>
      </c>
      <c r="AC17" s="9">
        <f t="shared" si="14"/>
        <v>0</v>
      </c>
      <c r="AD17" s="9">
        <f t="shared" si="14"/>
        <v>0</v>
      </c>
      <c r="AE17" s="9">
        <f t="shared" si="14"/>
        <v>0</v>
      </c>
      <c r="AF17" s="9">
        <f t="shared" si="14"/>
        <v>0</v>
      </c>
      <c r="AG17" s="9">
        <f t="shared" si="14"/>
        <v>0</v>
      </c>
      <c r="AH17" s="9">
        <f t="shared" si="14"/>
        <v>0</v>
      </c>
      <c r="AI17" s="9">
        <f t="shared" si="14"/>
        <v>0</v>
      </c>
      <c r="AJ17" s="9">
        <f t="shared" si="14"/>
        <v>0</v>
      </c>
      <c r="AK17" s="9">
        <f t="shared" si="14"/>
        <v>0</v>
      </c>
      <c r="AL17" s="9">
        <f t="shared" si="14"/>
        <v>0</v>
      </c>
      <c r="AM17" s="365">
        <f t="shared" si="3"/>
        <v>0</v>
      </c>
      <c r="AN17" s="412">
        <f t="shared" si="7"/>
        <v>0</v>
      </c>
      <c r="AO17" s="412">
        <f t="shared" si="8"/>
        <v>0</v>
      </c>
      <c r="AQ17" t="s">
        <v>1000</v>
      </c>
      <c r="AR17" s="458">
        <f>+AJ2</f>
        <v>1577564.6400000001</v>
      </c>
      <c r="AS17" s="456">
        <f t="shared" si="9"/>
        <v>18559584.18559584</v>
      </c>
      <c r="AT17" s="525">
        <f t="shared" si="10"/>
        <v>0.10141640894951769</v>
      </c>
      <c r="AU17" s="458">
        <f>+'2020'!AM118</f>
        <v>191224.18</v>
      </c>
      <c r="AV17" s="456">
        <f t="shared" si="11"/>
        <v>2249696.25779108</v>
      </c>
      <c r="AW17" s="456">
        <f t="shared" si="12"/>
        <v>191224.18191224182</v>
      </c>
      <c r="AY17" s="460">
        <f>+AS15+AV17</f>
        <v>11546276.35075688</v>
      </c>
      <c r="BA17" s="458">
        <f>+AR15+AU17</f>
        <v>981433.48</v>
      </c>
    </row>
    <row r="18" spans="1:53" ht="14">
      <c r="A18" s="402" t="s">
        <v>535</v>
      </c>
      <c r="B18" s="404">
        <v>15051607</v>
      </c>
      <c r="C18" s="404">
        <v>291</v>
      </c>
      <c r="D18" s="405" t="s">
        <v>640</v>
      </c>
      <c r="E18" s="405" t="s">
        <v>641</v>
      </c>
      <c r="F18" s="561">
        <v>31997.14</v>
      </c>
      <c r="G18" s="563">
        <v>22274.32</v>
      </c>
      <c r="H18" s="567">
        <v>35901.56</v>
      </c>
      <c r="I18" s="572">
        <v>35351.360000000001</v>
      </c>
      <c r="J18" s="576">
        <v>21252.71</v>
      </c>
      <c r="K18" s="583">
        <v>9346.32</v>
      </c>
      <c r="L18" s="585">
        <v>8785.2800000000007</v>
      </c>
      <c r="M18" s="585">
        <v>20656.66</v>
      </c>
      <c r="N18" s="482"/>
      <c r="O18" s="482"/>
      <c r="P18" s="482"/>
      <c r="Q18" s="552"/>
      <c r="R18" s="586">
        <f t="shared" si="4"/>
        <v>185565.35</v>
      </c>
      <c r="S18" s="412">
        <f t="shared" si="5"/>
        <v>156123.41</v>
      </c>
      <c r="T18" s="412">
        <f>+'2023'!R17</f>
        <v>128313.93</v>
      </c>
      <c r="U18" s="579">
        <f t="shared" si="6"/>
        <v>185565.35</v>
      </c>
      <c r="W18" s="9">
        <f t="shared" si="14"/>
        <v>0</v>
      </c>
      <c r="X18" s="9">
        <f t="shared" si="14"/>
        <v>0</v>
      </c>
      <c r="Y18" s="9">
        <f t="shared" si="14"/>
        <v>0</v>
      </c>
      <c r="Z18" s="9">
        <f t="shared" si="14"/>
        <v>0</v>
      </c>
      <c r="AA18" s="9">
        <f t="shared" si="14"/>
        <v>0</v>
      </c>
      <c r="AB18" s="9">
        <f t="shared" si="14"/>
        <v>0</v>
      </c>
      <c r="AC18" s="9">
        <f t="shared" si="14"/>
        <v>0</v>
      </c>
      <c r="AD18" s="9">
        <f t="shared" si="14"/>
        <v>185565.35</v>
      </c>
      <c r="AE18" s="9">
        <f t="shared" si="14"/>
        <v>0</v>
      </c>
      <c r="AF18" s="9">
        <f t="shared" si="14"/>
        <v>0</v>
      </c>
      <c r="AG18" s="9">
        <f t="shared" si="14"/>
        <v>0</v>
      </c>
      <c r="AH18" s="9">
        <f t="shared" si="14"/>
        <v>0</v>
      </c>
      <c r="AI18" s="9">
        <f t="shared" si="14"/>
        <v>0</v>
      </c>
      <c r="AJ18" s="9">
        <f t="shared" si="14"/>
        <v>0</v>
      </c>
      <c r="AK18" s="9">
        <f t="shared" si="14"/>
        <v>0</v>
      </c>
      <c r="AL18" s="9">
        <f t="shared" si="14"/>
        <v>0</v>
      </c>
      <c r="AM18" s="365">
        <f t="shared" si="3"/>
        <v>185565.35</v>
      </c>
      <c r="AN18" s="412">
        <f t="shared" si="7"/>
        <v>185565.35</v>
      </c>
      <c r="AO18" s="412">
        <f t="shared" si="8"/>
        <v>0</v>
      </c>
      <c r="AQ18" t="s">
        <v>1044</v>
      </c>
      <c r="AR18" s="458">
        <f>+AK2</f>
        <v>964347.3600000001</v>
      </c>
      <c r="AS18" s="456">
        <f t="shared" si="9"/>
        <v>11345263.172276162</v>
      </c>
      <c r="AT18" s="525">
        <f t="shared" si="10"/>
        <v>6.1994699774170756E-2</v>
      </c>
      <c r="AU18" s="458">
        <f>+'2020'!AO118</f>
        <v>363793.70999999996</v>
      </c>
      <c r="AV18" s="456">
        <f t="shared" si="11"/>
        <v>4279926.0427992595</v>
      </c>
      <c r="AW18" s="456">
        <f t="shared" si="12"/>
        <v>363793.71363793709</v>
      </c>
      <c r="AY18" s="460">
        <f>+AS16+AV18</f>
        <v>18465901.714070778</v>
      </c>
      <c r="BA18" s="458">
        <f>+AR16+AU18</f>
        <v>1569601.63</v>
      </c>
    </row>
    <row r="19" spans="1:53" ht="14">
      <c r="A19" s="402" t="s">
        <v>533</v>
      </c>
      <c r="B19" s="403">
        <v>15077970</v>
      </c>
      <c r="C19" s="403">
        <v>59</v>
      </c>
      <c r="D19" s="402" t="s">
        <v>830</v>
      </c>
      <c r="E19" s="402" t="s">
        <v>231</v>
      </c>
      <c r="F19" s="482"/>
      <c r="G19" s="561">
        <v>3898.41</v>
      </c>
      <c r="H19" s="563">
        <v>5328.62</v>
      </c>
      <c r="I19" s="567">
        <v>5946.09</v>
      </c>
      <c r="J19" s="568">
        <v>2932.85</v>
      </c>
      <c r="K19" s="572">
        <v>1996.27</v>
      </c>
      <c r="L19" s="576">
        <v>1651.56</v>
      </c>
      <c r="M19" s="583">
        <v>2948.92</v>
      </c>
      <c r="N19" s="585">
        <v>3875.11</v>
      </c>
      <c r="O19" s="482"/>
      <c r="P19" s="482"/>
      <c r="Q19" s="482"/>
      <c r="R19" s="586">
        <f t="shared" si="4"/>
        <v>28577.83</v>
      </c>
      <c r="S19" s="412">
        <f t="shared" si="5"/>
        <v>20102.239999999998</v>
      </c>
      <c r="T19" s="412">
        <f>+'2023'!R18</f>
        <v>33309.910000000003</v>
      </c>
      <c r="U19" s="579">
        <f t="shared" si="6"/>
        <v>28577.83</v>
      </c>
      <c r="W19" s="9">
        <f t="shared" si="14"/>
        <v>0</v>
      </c>
      <c r="X19" s="9">
        <f t="shared" si="14"/>
        <v>0</v>
      </c>
      <c r="Y19" s="9">
        <f t="shared" si="14"/>
        <v>0</v>
      </c>
      <c r="Z19" s="9">
        <f t="shared" si="14"/>
        <v>0</v>
      </c>
      <c r="AA19" s="9">
        <f t="shared" si="14"/>
        <v>0</v>
      </c>
      <c r="AB19" s="9">
        <f t="shared" si="14"/>
        <v>0</v>
      </c>
      <c r="AC19" s="9">
        <f t="shared" si="14"/>
        <v>0</v>
      </c>
      <c r="AD19" s="9">
        <f t="shared" si="14"/>
        <v>0</v>
      </c>
      <c r="AE19" s="9">
        <f t="shared" si="14"/>
        <v>0</v>
      </c>
      <c r="AF19" s="9">
        <f t="shared" si="14"/>
        <v>28577.83</v>
      </c>
      <c r="AG19" s="9">
        <f t="shared" si="14"/>
        <v>0</v>
      </c>
      <c r="AH19" s="9">
        <f t="shared" si="14"/>
        <v>0</v>
      </c>
      <c r="AI19" s="9">
        <f t="shared" si="14"/>
        <v>0</v>
      </c>
      <c r="AJ19" s="9">
        <f t="shared" si="14"/>
        <v>0</v>
      </c>
      <c r="AK19" s="9">
        <f t="shared" si="14"/>
        <v>0</v>
      </c>
      <c r="AL19" s="9">
        <f t="shared" si="14"/>
        <v>0</v>
      </c>
      <c r="AM19" s="365">
        <f t="shared" si="3"/>
        <v>28577.83</v>
      </c>
      <c r="AN19" s="412">
        <f t="shared" si="7"/>
        <v>28577.83</v>
      </c>
      <c r="AO19" s="412">
        <f t="shared" si="8"/>
        <v>0</v>
      </c>
      <c r="AQ19" t="s">
        <v>705</v>
      </c>
      <c r="AR19" s="458">
        <f>+AL2</f>
        <v>519791.74299999996</v>
      </c>
      <c r="AS19" s="456">
        <f t="shared" ref="AS19" si="15">+AR19*11.764706</f>
        <v>6115197.037622558</v>
      </c>
      <c r="AT19" s="525">
        <f t="shared" si="10"/>
        <v>3.3415690641158513E-2</v>
      </c>
      <c r="AU19" s="458">
        <f>+'2020'!AO119</f>
        <v>4279925.999144014</v>
      </c>
      <c r="AV19" s="456">
        <f t="shared" ref="AV19:AV20" si="16">+AU19*11.764706</f>
        <v>50352071.08168558</v>
      </c>
      <c r="AW19" s="456">
        <f t="shared" ref="AW19:AW20" si="17">+AV19*0.085</f>
        <v>4279926.0419432744</v>
      </c>
      <c r="AY19" s="460">
        <f>+AS17+AV19</f>
        <v>68911655.267281413</v>
      </c>
      <c r="BA19" s="458">
        <f>+AR17+AU19</f>
        <v>5857490.6391440146</v>
      </c>
    </row>
    <row r="20" spans="1:53" ht="14">
      <c r="A20" s="402" t="s">
        <v>659</v>
      </c>
      <c r="B20" s="403">
        <v>15031812</v>
      </c>
      <c r="C20" s="403">
        <v>105</v>
      </c>
      <c r="D20" s="402" t="s">
        <v>707</v>
      </c>
      <c r="E20" s="402" t="s">
        <v>688</v>
      </c>
      <c r="F20" s="558">
        <v>15206.83</v>
      </c>
      <c r="G20" s="561">
        <v>12357.3</v>
      </c>
      <c r="H20" s="563">
        <v>14399.2</v>
      </c>
      <c r="I20" s="567">
        <v>16580.189999999999</v>
      </c>
      <c r="J20" s="572">
        <v>9352.51</v>
      </c>
      <c r="K20" s="572">
        <v>5548.69</v>
      </c>
      <c r="L20" s="576">
        <v>5616.38</v>
      </c>
      <c r="M20" s="583">
        <v>9330.02</v>
      </c>
      <c r="N20" s="585">
        <v>12316.8</v>
      </c>
      <c r="O20" s="482"/>
      <c r="P20" s="482"/>
      <c r="Q20" s="482"/>
      <c r="R20" s="586">
        <f t="shared" si="4"/>
        <v>100707.92000000001</v>
      </c>
      <c r="S20" s="412">
        <f t="shared" si="5"/>
        <v>73444.72</v>
      </c>
      <c r="T20" s="412">
        <f>+'2023'!R19</f>
        <v>93122.78</v>
      </c>
      <c r="U20" s="579">
        <f t="shared" si="6"/>
        <v>100707.92000000001</v>
      </c>
      <c r="W20" s="9">
        <f t="shared" ref="W20:AJ29" si="18">+IF($A20=W$3,$U20,0)</f>
        <v>0</v>
      </c>
      <c r="X20" s="9">
        <f t="shared" si="18"/>
        <v>0</v>
      </c>
      <c r="Y20" s="9">
        <f t="shared" si="18"/>
        <v>0</v>
      </c>
      <c r="Z20" s="9">
        <f t="shared" si="18"/>
        <v>0</v>
      </c>
      <c r="AA20" s="9">
        <f t="shared" si="18"/>
        <v>0</v>
      </c>
      <c r="AB20" s="9">
        <f t="shared" si="18"/>
        <v>0</v>
      </c>
      <c r="AC20" s="9">
        <f t="shared" si="18"/>
        <v>0</v>
      </c>
      <c r="AD20" s="9">
        <f t="shared" si="18"/>
        <v>0</v>
      </c>
      <c r="AE20" s="9">
        <f t="shared" si="18"/>
        <v>0</v>
      </c>
      <c r="AF20" s="9">
        <f t="shared" si="18"/>
        <v>0</v>
      </c>
      <c r="AG20" s="9">
        <f t="shared" si="18"/>
        <v>0</v>
      </c>
      <c r="AH20" s="9">
        <f t="shared" si="18"/>
        <v>100707.92000000001</v>
      </c>
      <c r="AI20" s="9">
        <f t="shared" si="18"/>
        <v>0</v>
      </c>
      <c r="AJ20" s="9">
        <f t="shared" si="18"/>
        <v>0</v>
      </c>
      <c r="AK20" s="9">
        <f t="shared" ref="AK20:AK35" si="19">+IF($A20=AK$3,$U20,0)</f>
        <v>0</v>
      </c>
      <c r="AL20" s="9">
        <f t="shared" ref="AL20:AL83" si="20">+IF($A20=AL$3,$U20,0)</f>
        <v>0</v>
      </c>
      <c r="AM20" s="365">
        <f t="shared" si="3"/>
        <v>100707.92000000001</v>
      </c>
      <c r="AN20" s="412">
        <f t="shared" si="7"/>
        <v>100707.92000000001</v>
      </c>
      <c r="AO20" s="412">
        <f t="shared" si="8"/>
        <v>0</v>
      </c>
      <c r="AQ20" t="s">
        <v>965</v>
      </c>
      <c r="AR20" s="458">
        <f>+SUM(AR8:AR19)</f>
        <v>15555319.463000001</v>
      </c>
      <c r="AS20" s="458">
        <f>+SUM(AS8:AS19)</f>
        <v>183003760.21827289</v>
      </c>
      <c r="AU20" s="458">
        <f>+'2020'!AP119</f>
        <v>2700545.5288716555</v>
      </c>
      <c r="AV20" s="456">
        <f t="shared" si="16"/>
        <v>31771124.186789539</v>
      </c>
      <c r="AW20" s="456">
        <f t="shared" si="17"/>
        <v>2700545.5558771109</v>
      </c>
      <c r="AY20" s="460">
        <f>+AS18+AV20</f>
        <v>43116387.359065697</v>
      </c>
      <c r="BA20" s="458">
        <f>+AR18+AU20</f>
        <v>3664892.8888716558</v>
      </c>
    </row>
    <row r="21" spans="1:53" ht="14">
      <c r="A21" s="402" t="s">
        <v>537</v>
      </c>
      <c r="B21" s="403">
        <v>15074218</v>
      </c>
      <c r="C21" s="403">
        <v>72</v>
      </c>
      <c r="D21" s="402"/>
      <c r="E21" s="402" t="s">
        <v>976</v>
      </c>
      <c r="F21" s="558">
        <v>14365.29</v>
      </c>
      <c r="G21" s="561">
        <v>10898.39</v>
      </c>
      <c r="H21" s="563">
        <v>11592.61</v>
      </c>
      <c r="I21" s="567">
        <v>15840.81</v>
      </c>
      <c r="J21" s="568">
        <v>9007.8700000000008</v>
      </c>
      <c r="K21" s="572">
        <v>6412.3</v>
      </c>
      <c r="L21" s="576">
        <v>6257.12</v>
      </c>
      <c r="M21" s="583">
        <v>6814.38</v>
      </c>
      <c r="N21" s="585">
        <v>10740.68</v>
      </c>
      <c r="O21" s="482"/>
      <c r="P21" s="482"/>
      <c r="Q21" s="482"/>
      <c r="R21" s="586">
        <f t="shared" si="4"/>
        <v>91929.450000000012</v>
      </c>
      <c r="S21" s="412">
        <f t="shared" si="5"/>
        <v>68117.27</v>
      </c>
      <c r="T21" s="412">
        <f>+'2023'!R20</f>
        <v>72249.22</v>
      </c>
      <c r="U21" s="579">
        <f t="shared" si="6"/>
        <v>91929.450000000012</v>
      </c>
      <c r="W21" s="9">
        <f t="shared" si="18"/>
        <v>0</v>
      </c>
      <c r="X21" s="9">
        <f t="shared" si="18"/>
        <v>91929.450000000012</v>
      </c>
      <c r="Y21" s="9">
        <f t="shared" si="18"/>
        <v>0</v>
      </c>
      <c r="Z21" s="9">
        <f t="shared" si="18"/>
        <v>0</v>
      </c>
      <c r="AA21" s="9">
        <f t="shared" si="18"/>
        <v>0</v>
      </c>
      <c r="AB21" s="9">
        <f t="shared" si="18"/>
        <v>0</v>
      </c>
      <c r="AC21" s="9">
        <f t="shared" si="18"/>
        <v>0</v>
      </c>
      <c r="AD21" s="9">
        <f t="shared" si="18"/>
        <v>0</v>
      </c>
      <c r="AE21" s="9">
        <f t="shared" si="18"/>
        <v>0</v>
      </c>
      <c r="AF21" s="9">
        <f t="shared" si="18"/>
        <v>0</v>
      </c>
      <c r="AG21" s="9">
        <f t="shared" si="18"/>
        <v>0</v>
      </c>
      <c r="AH21" s="9">
        <f t="shared" si="18"/>
        <v>0</v>
      </c>
      <c r="AI21" s="9">
        <f t="shared" si="18"/>
        <v>0</v>
      </c>
      <c r="AJ21" s="9">
        <f t="shared" si="18"/>
        <v>0</v>
      </c>
      <c r="AK21" s="9">
        <f t="shared" si="19"/>
        <v>0</v>
      </c>
      <c r="AL21" s="9">
        <f t="shared" si="20"/>
        <v>0</v>
      </c>
      <c r="AM21" s="365">
        <f t="shared" si="3"/>
        <v>91929.450000000012</v>
      </c>
      <c r="AN21" s="412">
        <f t="shared" si="7"/>
        <v>91929.450000000012</v>
      </c>
      <c r="AO21" s="412">
        <f t="shared" si="8"/>
        <v>0</v>
      </c>
      <c r="AR21" s="458"/>
      <c r="AU21" s="458">
        <f t="shared" ref="AU21:AW21" si="21">+SUM(AU7:AU20)</f>
        <v>9547289.4680156689</v>
      </c>
      <c r="AV21" s="458">
        <f t="shared" si="21"/>
        <v>112321053.68810076</v>
      </c>
      <c r="AW21" s="458">
        <f t="shared" si="21"/>
        <v>9547289.5634885654</v>
      </c>
      <c r="AY21" s="458">
        <f>+SUM(AY7:AY20)</f>
        <v>262087616.12694281</v>
      </c>
      <c r="BA21" s="458">
        <f>+SUM(BA9:BA20)</f>
        <v>22277447.14801567</v>
      </c>
    </row>
    <row r="22" spans="1:53" ht="14">
      <c r="A22" s="402" t="s">
        <v>659</v>
      </c>
      <c r="B22" s="403">
        <v>15065882</v>
      </c>
      <c r="C22" s="403">
        <v>53</v>
      </c>
      <c r="D22" s="402" t="s">
        <v>234</v>
      </c>
      <c r="E22" s="402" t="s">
        <v>234</v>
      </c>
      <c r="F22" s="558">
        <v>12226.39</v>
      </c>
      <c r="G22" s="561">
        <v>10808.92</v>
      </c>
      <c r="H22" s="563">
        <v>11266.3</v>
      </c>
      <c r="I22" s="567">
        <v>13081.93</v>
      </c>
      <c r="J22" s="568">
        <v>8282.2900000000009</v>
      </c>
      <c r="K22" s="572">
        <v>7293.69</v>
      </c>
      <c r="L22" s="576">
        <v>6062.33</v>
      </c>
      <c r="M22" s="583">
        <v>6263.5</v>
      </c>
      <c r="N22" s="585">
        <v>8751.4500000000007</v>
      </c>
      <c r="O22" s="482"/>
      <c r="P22" s="482"/>
      <c r="Q22" s="482"/>
      <c r="R22" s="586">
        <f t="shared" si="4"/>
        <v>84036.800000000003</v>
      </c>
      <c r="S22" s="412">
        <f t="shared" si="5"/>
        <v>62959.520000000004</v>
      </c>
      <c r="T22" s="412">
        <f>+'2023'!R21</f>
        <v>64334.720000000001</v>
      </c>
      <c r="U22" s="579">
        <f t="shared" si="6"/>
        <v>84036.800000000003</v>
      </c>
      <c r="W22" s="9">
        <f t="shared" si="18"/>
        <v>0</v>
      </c>
      <c r="X22" s="9">
        <f t="shared" si="18"/>
        <v>0</v>
      </c>
      <c r="Y22" s="9">
        <f t="shared" si="18"/>
        <v>0</v>
      </c>
      <c r="Z22" s="9">
        <f t="shared" si="18"/>
        <v>0</v>
      </c>
      <c r="AA22" s="9">
        <f t="shared" si="18"/>
        <v>0</v>
      </c>
      <c r="AB22" s="9">
        <f t="shared" si="18"/>
        <v>0</v>
      </c>
      <c r="AC22" s="9">
        <f t="shared" si="18"/>
        <v>0</v>
      </c>
      <c r="AD22" s="9">
        <f t="shared" si="18"/>
        <v>0</v>
      </c>
      <c r="AE22" s="9">
        <f t="shared" si="18"/>
        <v>0</v>
      </c>
      <c r="AF22" s="9">
        <f t="shared" si="18"/>
        <v>0</v>
      </c>
      <c r="AG22" s="9">
        <f t="shared" si="18"/>
        <v>0</v>
      </c>
      <c r="AH22" s="9">
        <f t="shared" si="18"/>
        <v>84036.800000000003</v>
      </c>
      <c r="AI22" s="9">
        <f t="shared" si="18"/>
        <v>0</v>
      </c>
      <c r="AJ22" s="9">
        <f t="shared" si="18"/>
        <v>0</v>
      </c>
      <c r="AK22" s="9">
        <f t="shared" si="19"/>
        <v>0</v>
      </c>
      <c r="AL22" s="9">
        <f t="shared" si="20"/>
        <v>0</v>
      </c>
      <c r="AM22" s="365">
        <f t="shared" si="3"/>
        <v>84036.800000000003</v>
      </c>
      <c r="AN22" s="412">
        <f t="shared" si="7"/>
        <v>84036.800000000003</v>
      </c>
      <c r="AO22" s="412">
        <f t="shared" si="8"/>
        <v>0</v>
      </c>
      <c r="AU22" s="458"/>
      <c r="AY22" s="456"/>
    </row>
    <row r="23" spans="1:53" ht="14">
      <c r="A23" s="402" t="s">
        <v>530</v>
      </c>
      <c r="B23" s="403">
        <v>15066432</v>
      </c>
      <c r="C23" s="403">
        <v>90</v>
      </c>
      <c r="D23" s="402"/>
      <c r="E23" s="402" t="s">
        <v>922</v>
      </c>
      <c r="F23" s="558">
        <v>24223.42</v>
      </c>
      <c r="G23" s="561">
        <v>21293.86</v>
      </c>
      <c r="H23" s="563">
        <v>23521.29</v>
      </c>
      <c r="I23" s="567">
        <v>28103.54</v>
      </c>
      <c r="J23" s="572">
        <v>23423.5</v>
      </c>
      <c r="K23" s="572">
        <v>13236.12</v>
      </c>
      <c r="L23" s="576">
        <v>17615.150000000001</v>
      </c>
      <c r="M23" s="583">
        <v>16861.18</v>
      </c>
      <c r="N23" s="585">
        <v>16553.439999999999</v>
      </c>
      <c r="O23" s="482"/>
      <c r="P23" s="482"/>
      <c r="Q23" s="482"/>
      <c r="R23" s="586">
        <f t="shared" si="4"/>
        <v>184831.5</v>
      </c>
      <c r="S23" s="412">
        <f t="shared" si="5"/>
        <v>133801.73000000001</v>
      </c>
      <c r="T23" s="412">
        <f>+'2023'!R22</f>
        <v>142173.49</v>
      </c>
      <c r="U23" s="579">
        <f t="shared" si="6"/>
        <v>184831.5</v>
      </c>
      <c r="W23" s="9">
        <f t="shared" si="18"/>
        <v>0</v>
      </c>
      <c r="X23" s="9">
        <f t="shared" si="18"/>
        <v>0</v>
      </c>
      <c r="Y23" s="9">
        <f t="shared" si="18"/>
        <v>0</v>
      </c>
      <c r="Z23" s="9">
        <f t="shared" si="18"/>
        <v>0</v>
      </c>
      <c r="AA23" s="9">
        <f t="shared" si="18"/>
        <v>0</v>
      </c>
      <c r="AB23" s="9">
        <f t="shared" si="18"/>
        <v>184831.5</v>
      </c>
      <c r="AC23" s="9">
        <f t="shared" si="18"/>
        <v>0</v>
      </c>
      <c r="AD23" s="9">
        <f t="shared" si="18"/>
        <v>0</v>
      </c>
      <c r="AE23" s="9">
        <f t="shared" si="18"/>
        <v>0</v>
      </c>
      <c r="AF23" s="9">
        <f t="shared" si="18"/>
        <v>0</v>
      </c>
      <c r="AG23" s="9">
        <f t="shared" si="18"/>
        <v>0</v>
      </c>
      <c r="AH23" s="9">
        <f t="shared" si="18"/>
        <v>0</v>
      </c>
      <c r="AI23" s="9">
        <f t="shared" si="18"/>
        <v>0</v>
      </c>
      <c r="AJ23" s="9">
        <f t="shared" si="18"/>
        <v>0</v>
      </c>
      <c r="AK23" s="9">
        <f t="shared" si="19"/>
        <v>0</v>
      </c>
      <c r="AL23" s="9">
        <f t="shared" si="20"/>
        <v>0</v>
      </c>
      <c r="AM23" s="365">
        <f t="shared" si="3"/>
        <v>184831.5</v>
      </c>
      <c r="AN23" s="412">
        <f t="shared" si="7"/>
        <v>184831.5</v>
      </c>
      <c r="AO23" s="412">
        <f t="shared" si="8"/>
        <v>0</v>
      </c>
      <c r="AT23" s="525">
        <f>+AT17+AT18+AT19</f>
        <v>0.19682679936484695</v>
      </c>
      <c r="AU23" s="460"/>
      <c r="AY23" s="456"/>
      <c r="BA23" s="458"/>
    </row>
    <row r="24" spans="1:53" ht="14">
      <c r="A24" s="402" t="s">
        <v>537</v>
      </c>
      <c r="B24" s="403">
        <v>15036832</v>
      </c>
      <c r="C24" s="403">
        <v>103</v>
      </c>
      <c r="D24" s="402" t="s">
        <v>504</v>
      </c>
      <c r="E24" s="402" t="s">
        <v>504</v>
      </c>
      <c r="F24" s="558">
        <v>23527.360000000001</v>
      </c>
      <c r="G24" s="561">
        <v>20486.41</v>
      </c>
      <c r="H24" s="563">
        <v>28982.47</v>
      </c>
      <c r="I24" s="567">
        <v>33318.129999999997</v>
      </c>
      <c r="J24" s="568">
        <v>19569.189999999999</v>
      </c>
      <c r="K24" s="572">
        <v>10305.81</v>
      </c>
      <c r="L24" s="576">
        <v>12444.52</v>
      </c>
      <c r="M24" s="583">
        <v>15901.24</v>
      </c>
      <c r="N24" s="585">
        <v>21601.54</v>
      </c>
      <c r="O24" s="482"/>
      <c r="P24" s="482"/>
      <c r="Q24" s="482"/>
      <c r="R24" s="586">
        <f t="shared" si="4"/>
        <v>186136.66999999998</v>
      </c>
      <c r="S24" s="412">
        <f>+SUM(F24:K24)</f>
        <v>136189.37</v>
      </c>
      <c r="T24" s="412">
        <f>+'2023'!R24</f>
        <v>128059.63</v>
      </c>
      <c r="U24" s="579">
        <f t="shared" si="6"/>
        <v>186136.66999999998</v>
      </c>
      <c r="W24" s="9">
        <f t="shared" si="18"/>
        <v>0</v>
      </c>
      <c r="X24" s="9">
        <f t="shared" si="18"/>
        <v>186136.66999999998</v>
      </c>
      <c r="Y24" s="9">
        <f t="shared" si="18"/>
        <v>0</v>
      </c>
      <c r="Z24" s="9">
        <f t="shared" si="18"/>
        <v>0</v>
      </c>
      <c r="AA24" s="9">
        <f t="shared" si="18"/>
        <v>0</v>
      </c>
      <c r="AB24" s="9">
        <f t="shared" si="18"/>
        <v>0</v>
      </c>
      <c r="AC24" s="9">
        <f t="shared" si="18"/>
        <v>0</v>
      </c>
      <c r="AD24" s="9">
        <f t="shared" si="18"/>
        <v>0</v>
      </c>
      <c r="AE24" s="9">
        <f t="shared" si="18"/>
        <v>0</v>
      </c>
      <c r="AF24" s="9">
        <f t="shared" si="18"/>
        <v>0</v>
      </c>
      <c r="AG24" s="9">
        <f t="shared" si="18"/>
        <v>0</v>
      </c>
      <c r="AH24" s="9">
        <f t="shared" si="18"/>
        <v>0</v>
      </c>
      <c r="AI24" s="9">
        <f t="shared" si="18"/>
        <v>0</v>
      </c>
      <c r="AJ24" s="9">
        <f t="shared" si="18"/>
        <v>0</v>
      </c>
      <c r="AK24" s="9">
        <f>+IF($A24=AK$3,$U24,0)</f>
        <v>0</v>
      </c>
      <c r="AL24" s="9">
        <f>+IF($A24=AL$3,$U24,0)</f>
        <v>0</v>
      </c>
      <c r="AM24" s="365">
        <f t="shared" si="3"/>
        <v>186136.66999999998</v>
      </c>
      <c r="AN24" s="412">
        <f t="shared" si="7"/>
        <v>186136.66999999998</v>
      </c>
      <c r="AO24" s="412">
        <f t="shared" si="8"/>
        <v>0</v>
      </c>
      <c r="AR24">
        <v>2024</v>
      </c>
      <c r="AS24" s="456">
        <f>113+120+90+125</f>
        <v>448</v>
      </c>
    </row>
    <row r="25" spans="1:53" ht="14">
      <c r="A25" s="402" t="s">
        <v>535</v>
      </c>
      <c r="B25" s="403">
        <v>15059166</v>
      </c>
      <c r="C25" s="403">
        <v>146</v>
      </c>
      <c r="D25" s="402" t="s">
        <v>851</v>
      </c>
      <c r="E25" s="402" t="s">
        <v>852</v>
      </c>
      <c r="F25" s="558">
        <v>28673.47</v>
      </c>
      <c r="G25" s="561">
        <v>24082.400000000001</v>
      </c>
      <c r="H25" s="563">
        <v>30658.51</v>
      </c>
      <c r="I25" s="567">
        <v>42577.74</v>
      </c>
      <c r="J25" s="568">
        <v>21747.85</v>
      </c>
      <c r="K25" s="572">
        <v>13093.58</v>
      </c>
      <c r="L25" s="576">
        <v>12653.08</v>
      </c>
      <c r="M25" s="583">
        <v>15951.22</v>
      </c>
      <c r="N25" s="585">
        <v>23728.01</v>
      </c>
      <c r="O25" s="482"/>
      <c r="P25" s="482"/>
      <c r="Q25" s="482"/>
      <c r="R25" s="586">
        <f t="shared" si="4"/>
        <v>213165.86</v>
      </c>
      <c r="S25" s="412">
        <f t="shared" si="5"/>
        <v>160833.54999999999</v>
      </c>
      <c r="T25" s="412">
        <f>+'2023'!R23</f>
        <v>168525.44</v>
      </c>
      <c r="U25" s="579">
        <f t="shared" si="6"/>
        <v>213165.86</v>
      </c>
      <c r="W25" s="9">
        <f t="shared" si="18"/>
        <v>0</v>
      </c>
      <c r="X25" s="9">
        <f t="shared" si="18"/>
        <v>0</v>
      </c>
      <c r="Y25" s="9">
        <f t="shared" si="18"/>
        <v>0</v>
      </c>
      <c r="Z25" s="9">
        <f t="shared" si="18"/>
        <v>0</v>
      </c>
      <c r="AA25" s="9">
        <f t="shared" si="18"/>
        <v>0</v>
      </c>
      <c r="AB25" s="9">
        <f t="shared" si="18"/>
        <v>0</v>
      </c>
      <c r="AC25" s="9">
        <f t="shared" si="18"/>
        <v>0</v>
      </c>
      <c r="AD25" s="9">
        <f t="shared" si="18"/>
        <v>213165.86</v>
      </c>
      <c r="AE25" s="9">
        <f t="shared" si="18"/>
        <v>0</v>
      </c>
      <c r="AF25" s="9">
        <f t="shared" si="18"/>
        <v>0</v>
      </c>
      <c r="AG25" s="9">
        <f t="shared" si="18"/>
        <v>0</v>
      </c>
      <c r="AH25" s="9">
        <f t="shared" si="18"/>
        <v>0</v>
      </c>
      <c r="AI25" s="9">
        <f t="shared" si="18"/>
        <v>0</v>
      </c>
      <c r="AJ25" s="9">
        <f t="shared" si="18"/>
        <v>0</v>
      </c>
      <c r="AK25" s="9">
        <f t="shared" si="19"/>
        <v>0</v>
      </c>
      <c r="AL25" s="9">
        <f t="shared" si="20"/>
        <v>0</v>
      </c>
      <c r="AM25" s="365">
        <f t="shared" si="3"/>
        <v>213165.86</v>
      </c>
      <c r="AN25" s="412">
        <f t="shared" si="7"/>
        <v>213165.86</v>
      </c>
      <c r="AO25" s="412">
        <f t="shared" si="8"/>
        <v>0</v>
      </c>
      <c r="AR25">
        <v>2023</v>
      </c>
      <c r="AS25" s="456">
        <f>125+87+82</f>
        <v>294</v>
      </c>
      <c r="AU25" s="456"/>
      <c r="AY25" s="456"/>
    </row>
    <row r="26" spans="1:53" ht="14">
      <c r="A26" s="402" t="s">
        <v>533</v>
      </c>
      <c r="B26" s="403">
        <v>15007853</v>
      </c>
      <c r="C26" s="403">
        <v>55</v>
      </c>
      <c r="D26" s="402" t="s">
        <v>632</v>
      </c>
      <c r="E26" s="402" t="s">
        <v>238</v>
      </c>
      <c r="F26" s="482"/>
      <c r="G26" s="482"/>
      <c r="H26" s="482"/>
      <c r="I26" s="482"/>
      <c r="J26" s="482"/>
      <c r="K26" s="482"/>
      <c r="L26" s="482"/>
      <c r="M26" s="482"/>
      <c r="N26" s="482"/>
      <c r="O26" s="482"/>
      <c r="P26" s="482"/>
      <c r="Q26" s="482"/>
      <c r="R26" s="586">
        <f t="shared" si="4"/>
        <v>0</v>
      </c>
      <c r="S26" s="412">
        <f t="shared" si="5"/>
        <v>0</v>
      </c>
      <c r="T26" s="412">
        <f>+'2023'!R25</f>
        <v>18003.88</v>
      </c>
      <c r="U26" s="579">
        <f t="shared" si="6"/>
        <v>0</v>
      </c>
      <c r="W26" s="9">
        <f t="shared" si="18"/>
        <v>0</v>
      </c>
      <c r="X26" s="9">
        <f t="shared" si="18"/>
        <v>0</v>
      </c>
      <c r="Y26" s="9">
        <f t="shared" si="18"/>
        <v>0</v>
      </c>
      <c r="Z26" s="9">
        <f t="shared" si="18"/>
        <v>0</v>
      </c>
      <c r="AA26" s="9">
        <f t="shared" si="18"/>
        <v>0</v>
      </c>
      <c r="AB26" s="9">
        <f t="shared" si="18"/>
        <v>0</v>
      </c>
      <c r="AC26" s="9">
        <f t="shared" si="18"/>
        <v>0</v>
      </c>
      <c r="AD26" s="9">
        <f t="shared" si="18"/>
        <v>0</v>
      </c>
      <c r="AE26" s="9">
        <f t="shared" si="18"/>
        <v>0</v>
      </c>
      <c r="AF26" s="9">
        <f t="shared" si="18"/>
        <v>0</v>
      </c>
      <c r="AG26" s="9">
        <f t="shared" si="18"/>
        <v>0</v>
      </c>
      <c r="AH26" s="9">
        <f t="shared" si="18"/>
        <v>0</v>
      </c>
      <c r="AI26" s="9">
        <f t="shared" si="18"/>
        <v>0</v>
      </c>
      <c r="AJ26" s="9">
        <f t="shared" si="18"/>
        <v>0</v>
      </c>
      <c r="AK26" s="9">
        <f t="shared" si="19"/>
        <v>0</v>
      </c>
      <c r="AL26" s="9">
        <f t="shared" si="20"/>
        <v>0</v>
      </c>
      <c r="AM26" s="365">
        <f t="shared" si="3"/>
        <v>0</v>
      </c>
      <c r="AN26" s="412">
        <f t="shared" si="7"/>
        <v>0</v>
      </c>
      <c r="AO26" s="412">
        <f t="shared" si="8"/>
        <v>0</v>
      </c>
      <c r="AR26">
        <v>2025</v>
      </c>
      <c r="AS26" s="456">
        <f>130+118+113</f>
        <v>361</v>
      </c>
    </row>
    <row r="27" spans="1:53" ht="14">
      <c r="A27" s="402" t="s">
        <v>705</v>
      </c>
      <c r="B27" s="403">
        <v>7000700</v>
      </c>
      <c r="C27" s="403">
        <v>44</v>
      </c>
      <c r="D27" s="402" t="s">
        <v>239</v>
      </c>
      <c r="E27" s="402" t="s">
        <v>239</v>
      </c>
      <c r="F27" s="558">
        <v>697.43</v>
      </c>
      <c r="G27" s="561">
        <v>652.12</v>
      </c>
      <c r="H27" s="563">
        <v>570.01</v>
      </c>
      <c r="I27" s="567">
        <v>671.93</v>
      </c>
      <c r="J27" s="568">
        <v>675.75</v>
      </c>
      <c r="K27" s="572">
        <v>753.19</v>
      </c>
      <c r="L27" s="576">
        <v>725.65</v>
      </c>
      <c r="M27" s="583">
        <v>843.46</v>
      </c>
      <c r="N27" s="585">
        <v>716.21</v>
      </c>
      <c r="O27" s="482"/>
      <c r="P27" s="482"/>
      <c r="Q27" s="482"/>
      <c r="R27" s="586">
        <f t="shared" si="4"/>
        <v>6305.75</v>
      </c>
      <c r="S27" s="412">
        <f t="shared" si="5"/>
        <v>4020.43</v>
      </c>
      <c r="T27" s="412">
        <f>+'2023'!R26</f>
        <v>3704.9700000000003</v>
      </c>
      <c r="U27" s="579">
        <f t="shared" si="6"/>
        <v>6305.75</v>
      </c>
      <c r="W27" s="9">
        <f t="shared" si="18"/>
        <v>0</v>
      </c>
      <c r="X27" s="9">
        <f t="shared" si="18"/>
        <v>0</v>
      </c>
      <c r="Y27" s="9">
        <f t="shared" si="18"/>
        <v>0</v>
      </c>
      <c r="Z27" s="9">
        <f t="shared" si="18"/>
        <v>0</v>
      </c>
      <c r="AA27" s="9">
        <f t="shared" si="18"/>
        <v>0</v>
      </c>
      <c r="AB27" s="9">
        <f t="shared" si="18"/>
        <v>0</v>
      </c>
      <c r="AC27" s="9">
        <f t="shared" si="18"/>
        <v>0</v>
      </c>
      <c r="AD27" s="9">
        <f t="shared" si="18"/>
        <v>0</v>
      </c>
      <c r="AE27" s="9">
        <f t="shared" si="18"/>
        <v>0</v>
      </c>
      <c r="AF27" s="9">
        <f t="shared" si="18"/>
        <v>0</v>
      </c>
      <c r="AG27" s="9">
        <f t="shared" si="18"/>
        <v>0</v>
      </c>
      <c r="AH27" s="9">
        <f t="shared" si="18"/>
        <v>0</v>
      </c>
      <c r="AI27" s="9">
        <f t="shared" si="18"/>
        <v>0</v>
      </c>
      <c r="AJ27" s="9">
        <f t="shared" si="18"/>
        <v>0</v>
      </c>
      <c r="AK27" s="9">
        <f t="shared" si="19"/>
        <v>0</v>
      </c>
      <c r="AL27" s="9">
        <f t="shared" si="20"/>
        <v>6305.75</v>
      </c>
      <c r="AM27" s="365">
        <f t="shared" si="3"/>
        <v>6305.75</v>
      </c>
      <c r="AN27" s="412">
        <f t="shared" si="7"/>
        <v>6305.75</v>
      </c>
      <c r="AO27" s="412">
        <f t="shared" si="8"/>
        <v>0</v>
      </c>
    </row>
    <row r="28" spans="1:53" ht="14">
      <c r="A28" s="402" t="s">
        <v>533</v>
      </c>
      <c r="B28" s="403">
        <v>15005502</v>
      </c>
      <c r="C28" s="403">
        <v>155</v>
      </c>
      <c r="D28" s="402" t="s">
        <v>597</v>
      </c>
      <c r="E28" s="402" t="s">
        <v>506</v>
      </c>
      <c r="F28" s="561">
        <v>23703.08</v>
      </c>
      <c r="G28" s="561">
        <v>22747.59</v>
      </c>
      <c r="H28" s="563">
        <v>31308.49</v>
      </c>
      <c r="I28" s="568">
        <v>37234.44</v>
      </c>
      <c r="J28" s="576">
        <v>22044.06</v>
      </c>
      <c r="K28" s="572">
        <v>13104.85</v>
      </c>
      <c r="L28" s="482"/>
      <c r="M28" s="583">
        <v>14637.14</v>
      </c>
      <c r="N28" s="585">
        <v>18866.59</v>
      </c>
      <c r="O28" s="482"/>
      <c r="P28" s="482"/>
      <c r="Q28" s="482"/>
      <c r="R28" s="586">
        <f t="shared" si="4"/>
        <v>183646.24000000002</v>
      </c>
      <c r="S28" s="412">
        <f t="shared" si="5"/>
        <v>150142.51</v>
      </c>
      <c r="T28" s="412">
        <f>+'2023'!R27</f>
        <v>198215.73</v>
      </c>
      <c r="U28" s="579">
        <f t="shared" si="6"/>
        <v>183646.24000000002</v>
      </c>
      <c r="W28" s="9">
        <f t="shared" si="18"/>
        <v>0</v>
      </c>
      <c r="X28" s="9">
        <f t="shared" si="18"/>
        <v>0</v>
      </c>
      <c r="Y28" s="9">
        <f t="shared" si="18"/>
        <v>0</v>
      </c>
      <c r="Z28" s="9">
        <f t="shared" si="18"/>
        <v>0</v>
      </c>
      <c r="AA28" s="9">
        <f t="shared" si="18"/>
        <v>0</v>
      </c>
      <c r="AB28" s="9">
        <f t="shared" si="18"/>
        <v>0</v>
      </c>
      <c r="AC28" s="9">
        <f t="shared" si="18"/>
        <v>0</v>
      </c>
      <c r="AD28" s="9">
        <f t="shared" si="18"/>
        <v>0</v>
      </c>
      <c r="AE28" s="9">
        <f t="shared" si="18"/>
        <v>0</v>
      </c>
      <c r="AF28" s="9">
        <f t="shared" si="18"/>
        <v>183646.24000000002</v>
      </c>
      <c r="AG28" s="9">
        <f t="shared" si="18"/>
        <v>0</v>
      </c>
      <c r="AH28" s="9">
        <f t="shared" si="18"/>
        <v>0</v>
      </c>
      <c r="AI28" s="9">
        <f t="shared" si="18"/>
        <v>0</v>
      </c>
      <c r="AJ28" s="9">
        <f t="shared" si="18"/>
        <v>0</v>
      </c>
      <c r="AK28" s="9">
        <f t="shared" si="19"/>
        <v>0</v>
      </c>
      <c r="AL28" s="9">
        <f t="shared" si="20"/>
        <v>0</v>
      </c>
      <c r="AM28" s="365">
        <f t="shared" si="3"/>
        <v>183646.24000000002</v>
      </c>
      <c r="AN28" s="412">
        <f t="shared" si="7"/>
        <v>183646.24000000002</v>
      </c>
      <c r="AO28" s="412">
        <f t="shared" si="8"/>
        <v>0</v>
      </c>
      <c r="AR28" s="460">
        <f>+AN63</f>
        <v>110968.95000000001</v>
      </c>
      <c r="AS28" s="456">
        <f t="shared" ref="AS28" si="22">+AR28*11.764706</f>
        <v>1305517.0718787003</v>
      </c>
    </row>
    <row r="29" spans="1:53" ht="14">
      <c r="A29" s="402" t="s">
        <v>533</v>
      </c>
      <c r="B29" s="403">
        <v>7000800</v>
      </c>
      <c r="C29" s="403">
        <v>65</v>
      </c>
      <c r="D29" s="402" t="s">
        <v>627</v>
      </c>
      <c r="E29" s="402" t="s">
        <v>241</v>
      </c>
      <c r="F29" s="558">
        <v>7536.36</v>
      </c>
      <c r="G29" s="561">
        <v>7018.54</v>
      </c>
      <c r="H29" s="563">
        <v>6468.5</v>
      </c>
      <c r="I29" s="567">
        <v>7064</v>
      </c>
      <c r="J29" s="568">
        <v>5749.74</v>
      </c>
      <c r="K29" s="572">
        <v>5152.96</v>
      </c>
      <c r="L29" s="576">
        <v>4606.92</v>
      </c>
      <c r="M29" s="583">
        <v>5182.1099999999997</v>
      </c>
      <c r="N29" s="585">
        <v>5747</v>
      </c>
      <c r="O29" s="482"/>
      <c r="P29" s="482"/>
      <c r="Q29" s="482"/>
      <c r="R29" s="586">
        <f t="shared" si="4"/>
        <v>54526.13</v>
      </c>
      <c r="S29" s="412">
        <f t="shared" si="5"/>
        <v>38990.1</v>
      </c>
      <c r="T29" s="412">
        <f>+'2023'!R28</f>
        <v>43696.61</v>
      </c>
      <c r="U29" s="579">
        <f t="shared" si="6"/>
        <v>54526.13</v>
      </c>
      <c r="W29" s="9">
        <f t="shared" si="18"/>
        <v>0</v>
      </c>
      <c r="X29" s="9">
        <f t="shared" si="18"/>
        <v>0</v>
      </c>
      <c r="Y29" s="9">
        <f t="shared" si="18"/>
        <v>0</v>
      </c>
      <c r="Z29" s="9">
        <f t="shared" si="18"/>
        <v>0</v>
      </c>
      <c r="AA29" s="9">
        <f t="shared" si="18"/>
        <v>0</v>
      </c>
      <c r="AB29" s="9">
        <f t="shared" si="18"/>
        <v>0</v>
      </c>
      <c r="AC29" s="9">
        <f t="shared" si="18"/>
        <v>0</v>
      </c>
      <c r="AD29" s="9">
        <f t="shared" si="18"/>
        <v>0</v>
      </c>
      <c r="AE29" s="9">
        <f t="shared" si="18"/>
        <v>0</v>
      </c>
      <c r="AF29" s="9">
        <f t="shared" si="18"/>
        <v>54526.13</v>
      </c>
      <c r="AG29" s="9">
        <f t="shared" si="18"/>
        <v>0</v>
      </c>
      <c r="AH29" s="9">
        <f t="shared" si="18"/>
        <v>0</v>
      </c>
      <c r="AI29" s="9">
        <f t="shared" si="18"/>
        <v>0</v>
      </c>
      <c r="AJ29" s="9">
        <f t="shared" si="18"/>
        <v>0</v>
      </c>
      <c r="AK29" s="9">
        <f t="shared" si="19"/>
        <v>0</v>
      </c>
      <c r="AL29" s="9">
        <f t="shared" si="20"/>
        <v>0</v>
      </c>
      <c r="AM29" s="365">
        <f t="shared" si="3"/>
        <v>54526.13</v>
      </c>
      <c r="AN29" s="412">
        <f t="shared" si="7"/>
        <v>54526.13</v>
      </c>
      <c r="AO29" s="412">
        <f t="shared" si="8"/>
        <v>0</v>
      </c>
    </row>
    <row r="30" spans="1:53" ht="14">
      <c r="A30" s="402" t="s">
        <v>660</v>
      </c>
      <c r="B30" s="403">
        <v>15069002</v>
      </c>
      <c r="C30" s="403">
        <v>62</v>
      </c>
      <c r="D30" s="402" t="s">
        <v>972</v>
      </c>
      <c r="E30" s="402" t="s">
        <v>972</v>
      </c>
      <c r="F30" s="558">
        <v>5257</v>
      </c>
      <c r="G30" s="563">
        <v>7565.06</v>
      </c>
      <c r="H30" s="563">
        <v>10718.22</v>
      </c>
      <c r="I30" s="567">
        <v>15592.53</v>
      </c>
      <c r="J30" s="572">
        <v>7155.26</v>
      </c>
      <c r="K30" s="572">
        <v>4432.5600000000004</v>
      </c>
      <c r="L30" s="585">
        <v>2606.61</v>
      </c>
      <c r="M30" s="585">
        <v>4644.22</v>
      </c>
      <c r="N30" s="585">
        <v>6782.1</v>
      </c>
      <c r="O30" s="482"/>
      <c r="P30" s="482"/>
      <c r="Q30" s="482"/>
      <c r="R30" s="586">
        <f t="shared" si="4"/>
        <v>64753.56</v>
      </c>
      <c r="S30" s="412">
        <f t="shared" si="5"/>
        <v>50720.63</v>
      </c>
      <c r="T30" s="412">
        <f>+'2023'!R29</f>
        <v>70727.28</v>
      </c>
      <c r="U30" s="579">
        <f t="shared" si="6"/>
        <v>64753.56</v>
      </c>
      <c r="W30" s="9">
        <f t="shared" ref="W30:AJ39" si="23">+IF($A30=W$3,$U30,0)</f>
        <v>0</v>
      </c>
      <c r="X30" s="9">
        <f t="shared" si="23"/>
        <v>0</v>
      </c>
      <c r="Y30" s="9">
        <f t="shared" si="23"/>
        <v>0</v>
      </c>
      <c r="Z30" s="9">
        <f t="shared" si="23"/>
        <v>0</v>
      </c>
      <c r="AA30" s="9">
        <f t="shared" si="23"/>
        <v>0</v>
      </c>
      <c r="AB30" s="9">
        <f t="shared" si="23"/>
        <v>0</v>
      </c>
      <c r="AC30" s="9">
        <f t="shared" si="23"/>
        <v>0</v>
      </c>
      <c r="AD30" s="9">
        <f t="shared" si="23"/>
        <v>0</v>
      </c>
      <c r="AE30" s="9">
        <f t="shared" si="23"/>
        <v>0</v>
      </c>
      <c r="AF30" s="9">
        <f t="shared" si="23"/>
        <v>0</v>
      </c>
      <c r="AG30" s="9">
        <f t="shared" si="23"/>
        <v>0</v>
      </c>
      <c r="AH30" s="9">
        <f t="shared" si="23"/>
        <v>0</v>
      </c>
      <c r="AI30" s="9">
        <f t="shared" si="23"/>
        <v>64753.56</v>
      </c>
      <c r="AJ30" s="9">
        <f t="shared" si="23"/>
        <v>0</v>
      </c>
      <c r="AK30" s="9">
        <f t="shared" si="19"/>
        <v>0</v>
      </c>
      <c r="AL30" s="9">
        <f t="shared" si="20"/>
        <v>0</v>
      </c>
      <c r="AM30" s="365">
        <f t="shared" si="3"/>
        <v>64753.56</v>
      </c>
      <c r="AN30" s="412">
        <f t="shared" si="7"/>
        <v>64753.56</v>
      </c>
      <c r="AO30" s="412">
        <f t="shared" si="8"/>
        <v>0</v>
      </c>
      <c r="AS30" s="456">
        <f>+SUM(AS25:AS28)</f>
        <v>1306172.0718787003</v>
      </c>
    </row>
    <row r="31" spans="1:53" ht="14">
      <c r="A31" s="402" t="s">
        <v>658</v>
      </c>
      <c r="B31" s="403">
        <v>15054166</v>
      </c>
      <c r="C31" s="403">
        <v>174</v>
      </c>
      <c r="D31" s="402" t="s">
        <v>671</v>
      </c>
      <c r="E31" s="402" t="s">
        <v>384</v>
      </c>
      <c r="F31" s="558">
        <v>55118.42</v>
      </c>
      <c r="G31" s="561">
        <v>47715.92</v>
      </c>
      <c r="H31" s="563">
        <v>49645.86</v>
      </c>
      <c r="I31" s="567">
        <f>49645.86+60003.06</f>
        <v>109648.92</v>
      </c>
      <c r="J31" s="568">
        <v>41892.75</v>
      </c>
      <c r="K31" s="572">
        <v>38434.25</v>
      </c>
      <c r="L31" s="576">
        <v>34983.089999999997</v>
      </c>
      <c r="M31" s="583">
        <v>36311.17</v>
      </c>
      <c r="N31" s="585">
        <v>45338.55</v>
      </c>
      <c r="O31" s="482"/>
      <c r="P31" s="482"/>
      <c r="Q31" s="482"/>
      <c r="R31" s="586">
        <f t="shared" si="4"/>
        <v>459088.92999999993</v>
      </c>
      <c r="S31" s="412">
        <f t="shared" si="5"/>
        <v>342456.12</v>
      </c>
      <c r="T31" s="412">
        <f>+'2023'!R44</f>
        <v>289350.7</v>
      </c>
      <c r="U31" s="579">
        <f t="shared" si="6"/>
        <v>459088.92999999993</v>
      </c>
      <c r="W31" s="9">
        <f t="shared" si="23"/>
        <v>0</v>
      </c>
      <c r="X31" s="9">
        <f t="shared" si="23"/>
        <v>0</v>
      </c>
      <c r="Y31" s="9">
        <f t="shared" si="23"/>
        <v>0</v>
      </c>
      <c r="Z31" s="9">
        <f t="shared" si="23"/>
        <v>0</v>
      </c>
      <c r="AA31" s="9">
        <f t="shared" si="23"/>
        <v>0</v>
      </c>
      <c r="AB31" s="9">
        <f t="shared" si="23"/>
        <v>0</v>
      </c>
      <c r="AC31" s="9">
        <f t="shared" si="23"/>
        <v>0</v>
      </c>
      <c r="AD31" s="9">
        <f t="shared" si="23"/>
        <v>0</v>
      </c>
      <c r="AE31" s="9">
        <f t="shared" si="23"/>
        <v>459088.92999999993</v>
      </c>
      <c r="AF31" s="9">
        <f t="shared" si="23"/>
        <v>0</v>
      </c>
      <c r="AG31" s="9">
        <f t="shared" si="23"/>
        <v>0</v>
      </c>
      <c r="AH31" s="9">
        <f t="shared" si="23"/>
        <v>0</v>
      </c>
      <c r="AI31" s="9">
        <f t="shared" si="23"/>
        <v>0</v>
      </c>
      <c r="AJ31" s="9">
        <f t="shared" si="23"/>
        <v>0</v>
      </c>
      <c r="AK31" s="9">
        <f t="shared" si="19"/>
        <v>0</v>
      </c>
      <c r="AL31" s="9">
        <f t="shared" si="20"/>
        <v>0</v>
      </c>
      <c r="AM31" s="365">
        <f t="shared" si="3"/>
        <v>459088.92999999993</v>
      </c>
      <c r="AN31" s="412">
        <f t="shared" si="7"/>
        <v>459088.92999999993</v>
      </c>
      <c r="AO31" s="412">
        <f t="shared" si="8"/>
        <v>0</v>
      </c>
    </row>
    <row r="32" spans="1:53" ht="14">
      <c r="A32" s="402" t="s">
        <v>535</v>
      </c>
      <c r="B32" s="404">
        <v>15066411</v>
      </c>
      <c r="C32" s="404">
        <v>230</v>
      </c>
      <c r="D32" s="405" t="s">
        <v>259</v>
      </c>
      <c r="E32" s="405" t="s">
        <v>384</v>
      </c>
      <c r="F32" s="558">
        <v>61729.17</v>
      </c>
      <c r="G32" s="561">
        <v>49188.52</v>
      </c>
      <c r="H32" s="563">
        <v>63131.46</v>
      </c>
      <c r="I32" s="567">
        <v>72372.600000000006</v>
      </c>
      <c r="J32" s="572">
        <v>43404.66</v>
      </c>
      <c r="K32" s="572">
        <v>33384.49</v>
      </c>
      <c r="L32" s="583">
        <v>25526.400000000001</v>
      </c>
      <c r="M32" s="585">
        <v>39359.17</v>
      </c>
      <c r="N32" s="585">
        <v>49717.53</v>
      </c>
      <c r="O32" s="482"/>
      <c r="P32" s="482"/>
      <c r="Q32" s="482"/>
      <c r="R32" s="586">
        <f t="shared" si="4"/>
        <v>437814</v>
      </c>
      <c r="S32" s="412">
        <f t="shared" si="5"/>
        <v>323210.90000000002</v>
      </c>
      <c r="T32" s="412">
        <f>+'2023'!R30</f>
        <v>338730.52999999997</v>
      </c>
      <c r="U32" s="579">
        <f t="shared" si="6"/>
        <v>437814</v>
      </c>
      <c r="W32" s="9">
        <f t="shared" si="23"/>
        <v>0</v>
      </c>
      <c r="X32" s="9">
        <f t="shared" si="23"/>
        <v>0</v>
      </c>
      <c r="Y32" s="9">
        <f t="shared" si="23"/>
        <v>0</v>
      </c>
      <c r="Z32" s="9">
        <f t="shared" si="23"/>
        <v>0</v>
      </c>
      <c r="AA32" s="9">
        <f t="shared" si="23"/>
        <v>0</v>
      </c>
      <c r="AB32" s="9">
        <f t="shared" si="23"/>
        <v>0</v>
      </c>
      <c r="AC32" s="9">
        <f t="shared" si="23"/>
        <v>0</v>
      </c>
      <c r="AD32" s="9">
        <f t="shared" si="23"/>
        <v>437814</v>
      </c>
      <c r="AE32" s="9">
        <f t="shared" si="23"/>
        <v>0</v>
      </c>
      <c r="AF32" s="9">
        <f t="shared" si="23"/>
        <v>0</v>
      </c>
      <c r="AG32" s="9">
        <f t="shared" si="23"/>
        <v>0</v>
      </c>
      <c r="AH32" s="9">
        <f t="shared" si="23"/>
        <v>0</v>
      </c>
      <c r="AI32" s="9">
        <f t="shared" si="23"/>
        <v>0</v>
      </c>
      <c r="AJ32" s="9">
        <f t="shared" si="23"/>
        <v>0</v>
      </c>
      <c r="AK32" s="9">
        <f t="shared" si="19"/>
        <v>0</v>
      </c>
      <c r="AL32" s="9">
        <f t="shared" si="20"/>
        <v>0</v>
      </c>
      <c r="AM32" s="365">
        <f t="shared" si="3"/>
        <v>437814</v>
      </c>
      <c r="AN32" s="412">
        <f t="shared" si="7"/>
        <v>437814</v>
      </c>
      <c r="AO32" s="412">
        <f t="shared" si="8"/>
        <v>0</v>
      </c>
    </row>
    <row r="33" spans="1:41" ht="14">
      <c r="A33" s="402" t="s">
        <v>1000</v>
      </c>
      <c r="B33" s="404">
        <v>15074514</v>
      </c>
      <c r="C33" s="404"/>
      <c r="D33" s="405"/>
      <c r="E33" s="405" t="s">
        <v>978</v>
      </c>
      <c r="F33" s="558">
        <v>1224.45</v>
      </c>
      <c r="G33" s="561">
        <v>1874.57</v>
      </c>
      <c r="H33" s="563">
        <v>1465.07</v>
      </c>
      <c r="I33" s="567">
        <v>3229.61</v>
      </c>
      <c r="J33" s="572">
        <v>1311.22</v>
      </c>
      <c r="K33" s="572">
        <v>645</v>
      </c>
      <c r="L33" s="576">
        <v>447.04</v>
      </c>
      <c r="M33" s="583">
        <v>598.25</v>
      </c>
      <c r="N33" s="585">
        <v>1270.17</v>
      </c>
      <c r="O33" s="482"/>
      <c r="P33" s="482"/>
      <c r="Q33" s="482"/>
      <c r="R33" s="586">
        <f t="shared" si="4"/>
        <v>12065.380000000001</v>
      </c>
      <c r="S33" s="412">
        <f t="shared" si="5"/>
        <v>9749.92</v>
      </c>
      <c r="T33">
        <f>+'2023'!R31</f>
        <v>6924.0599999999995</v>
      </c>
      <c r="U33" s="579">
        <f t="shared" si="6"/>
        <v>12065.380000000001</v>
      </c>
      <c r="W33" s="9">
        <f t="shared" si="23"/>
        <v>0</v>
      </c>
      <c r="X33" s="9">
        <f t="shared" si="23"/>
        <v>0</v>
      </c>
      <c r="Y33" s="9">
        <f t="shared" si="23"/>
        <v>0</v>
      </c>
      <c r="Z33" s="9">
        <f t="shared" si="23"/>
        <v>0</v>
      </c>
      <c r="AA33" s="9">
        <f t="shared" si="23"/>
        <v>0</v>
      </c>
      <c r="AB33" s="9">
        <f t="shared" si="23"/>
        <v>0</v>
      </c>
      <c r="AC33" s="9">
        <f t="shared" si="23"/>
        <v>0</v>
      </c>
      <c r="AD33" s="9">
        <f t="shared" si="23"/>
        <v>0</v>
      </c>
      <c r="AE33" s="9">
        <f t="shared" si="23"/>
        <v>0</v>
      </c>
      <c r="AF33" s="9">
        <f t="shared" si="23"/>
        <v>0</v>
      </c>
      <c r="AG33" s="9">
        <f t="shared" si="23"/>
        <v>0</v>
      </c>
      <c r="AH33" s="9">
        <f t="shared" si="23"/>
        <v>0</v>
      </c>
      <c r="AI33" s="9">
        <f t="shared" si="23"/>
        <v>0</v>
      </c>
      <c r="AJ33" s="9">
        <f t="shared" si="23"/>
        <v>12065.380000000001</v>
      </c>
      <c r="AK33" s="9">
        <f t="shared" si="19"/>
        <v>0</v>
      </c>
      <c r="AL33" s="9">
        <f t="shared" si="20"/>
        <v>0</v>
      </c>
      <c r="AM33" s="365">
        <f t="shared" si="3"/>
        <v>12065.380000000001</v>
      </c>
      <c r="AN33" s="412">
        <f t="shared" si="7"/>
        <v>12065.380000000001</v>
      </c>
      <c r="AO33" s="412">
        <f t="shared" si="8"/>
        <v>0</v>
      </c>
    </row>
    <row r="34" spans="1:41" ht="14">
      <c r="A34" s="402" t="s">
        <v>1043</v>
      </c>
      <c r="B34" s="404">
        <v>15079117</v>
      </c>
      <c r="C34" s="404"/>
      <c r="D34" s="405"/>
      <c r="E34" s="405" t="s">
        <v>1014</v>
      </c>
      <c r="F34" s="558">
        <v>116100.54</v>
      </c>
      <c r="G34" s="561">
        <v>102844.28</v>
      </c>
      <c r="H34" s="563">
        <v>124727.15</v>
      </c>
      <c r="I34" s="567">
        <v>155373.54</v>
      </c>
      <c r="J34" s="568">
        <v>101826.07</v>
      </c>
      <c r="K34" s="482"/>
      <c r="L34" s="576">
        <v>60136.39</v>
      </c>
      <c r="M34" s="482"/>
      <c r="N34" s="585">
        <v>117165.88</v>
      </c>
      <c r="O34" s="482"/>
      <c r="P34" s="482"/>
      <c r="Q34" s="482"/>
      <c r="R34" s="586">
        <f t="shared" si="4"/>
        <v>778173.85000000009</v>
      </c>
      <c r="S34" s="412">
        <f t="shared" si="5"/>
        <v>600871.58000000007</v>
      </c>
      <c r="T34" s="412">
        <f>+'2023'!R32</f>
        <v>586995.68999999994</v>
      </c>
      <c r="U34" s="579">
        <f t="shared" si="6"/>
        <v>778173.85000000009</v>
      </c>
      <c r="W34" s="9">
        <f t="shared" si="23"/>
        <v>0</v>
      </c>
      <c r="X34" s="9">
        <f t="shared" si="23"/>
        <v>0</v>
      </c>
      <c r="Y34" s="9">
        <f t="shared" si="23"/>
        <v>0</v>
      </c>
      <c r="Z34" s="9">
        <f t="shared" si="23"/>
        <v>0</v>
      </c>
      <c r="AA34" s="9">
        <f t="shared" si="23"/>
        <v>0</v>
      </c>
      <c r="AB34" s="9">
        <f t="shared" si="23"/>
        <v>0</v>
      </c>
      <c r="AC34" s="9">
        <f t="shared" si="23"/>
        <v>0</v>
      </c>
      <c r="AD34" s="9">
        <f t="shared" si="23"/>
        <v>0</v>
      </c>
      <c r="AE34" s="9">
        <f t="shared" si="23"/>
        <v>0</v>
      </c>
      <c r="AF34" s="9">
        <f t="shared" si="23"/>
        <v>0</v>
      </c>
      <c r="AG34" s="9">
        <f t="shared" si="23"/>
        <v>0</v>
      </c>
      <c r="AH34" s="9">
        <f t="shared" si="23"/>
        <v>0</v>
      </c>
      <c r="AI34" s="9">
        <f t="shared" si="23"/>
        <v>0</v>
      </c>
      <c r="AJ34" s="9">
        <f t="shared" si="23"/>
        <v>0</v>
      </c>
      <c r="AK34" s="9">
        <f t="shared" si="19"/>
        <v>778173.85000000009</v>
      </c>
      <c r="AL34" s="9">
        <f t="shared" si="20"/>
        <v>0</v>
      </c>
      <c r="AM34" s="365">
        <f t="shared" si="3"/>
        <v>778173.85000000009</v>
      </c>
      <c r="AN34" s="412">
        <f t="shared" si="7"/>
        <v>778173.85000000009</v>
      </c>
      <c r="AO34" s="412">
        <f t="shared" si="8"/>
        <v>0</v>
      </c>
    </row>
    <row r="35" spans="1:41" ht="14">
      <c r="A35" s="402" t="s">
        <v>658</v>
      </c>
      <c r="B35" s="403">
        <v>15062402</v>
      </c>
      <c r="C35" s="403">
        <v>126</v>
      </c>
      <c r="D35" s="402" t="s">
        <v>242</v>
      </c>
      <c r="E35" s="402" t="s">
        <v>242</v>
      </c>
      <c r="F35" s="558">
        <v>15335.74</v>
      </c>
      <c r="G35" s="561">
        <v>15411.45</v>
      </c>
      <c r="H35" s="563">
        <v>14747.07</v>
      </c>
      <c r="I35" s="567">
        <v>15590.97</v>
      </c>
      <c r="J35" s="568">
        <v>13448.78</v>
      </c>
      <c r="K35" s="572">
        <v>11105.23</v>
      </c>
      <c r="L35" s="576">
        <v>10912.98</v>
      </c>
      <c r="M35" s="583">
        <v>9511.58</v>
      </c>
      <c r="N35" s="585">
        <v>11359.68</v>
      </c>
      <c r="O35" s="482"/>
      <c r="P35" s="482"/>
      <c r="Q35" s="482"/>
      <c r="R35" s="586">
        <f t="shared" si="4"/>
        <v>117423.48000000001</v>
      </c>
      <c r="S35" s="412">
        <f t="shared" si="5"/>
        <v>85639.24</v>
      </c>
      <c r="T35" s="412">
        <f>+'2023'!R33</f>
        <v>86579.670000000013</v>
      </c>
      <c r="U35" s="579">
        <f t="shared" si="6"/>
        <v>117423.48000000001</v>
      </c>
      <c r="W35" s="9">
        <f t="shared" si="23"/>
        <v>0</v>
      </c>
      <c r="X35" s="9">
        <f t="shared" si="23"/>
        <v>0</v>
      </c>
      <c r="Y35" s="9">
        <f t="shared" si="23"/>
        <v>0</v>
      </c>
      <c r="Z35" s="9">
        <f t="shared" si="23"/>
        <v>0</v>
      </c>
      <c r="AA35" s="9">
        <f t="shared" si="23"/>
        <v>0</v>
      </c>
      <c r="AB35" s="9">
        <f t="shared" si="23"/>
        <v>0</v>
      </c>
      <c r="AC35" s="9">
        <f t="shared" si="23"/>
        <v>0</v>
      </c>
      <c r="AD35" s="9">
        <f t="shared" si="23"/>
        <v>0</v>
      </c>
      <c r="AE35" s="9">
        <f t="shared" si="23"/>
        <v>117423.48000000001</v>
      </c>
      <c r="AF35" s="9">
        <f t="shared" si="23"/>
        <v>0</v>
      </c>
      <c r="AG35" s="9">
        <f t="shared" si="23"/>
        <v>0</v>
      </c>
      <c r="AH35" s="9">
        <f t="shared" si="23"/>
        <v>0</v>
      </c>
      <c r="AI35" s="9">
        <f t="shared" si="23"/>
        <v>0</v>
      </c>
      <c r="AJ35" s="9">
        <f t="shared" si="23"/>
        <v>0</v>
      </c>
      <c r="AK35" s="9">
        <f t="shared" si="19"/>
        <v>0</v>
      </c>
      <c r="AL35" s="9">
        <f t="shared" si="20"/>
        <v>0</v>
      </c>
      <c r="AM35" s="365">
        <f t="shared" si="3"/>
        <v>117423.48000000001</v>
      </c>
      <c r="AN35" s="412">
        <f t="shared" si="7"/>
        <v>117423.48000000001</v>
      </c>
      <c r="AO35" s="412">
        <f t="shared" si="8"/>
        <v>0</v>
      </c>
    </row>
    <row r="36" spans="1:41" ht="14">
      <c r="A36" s="402" t="s">
        <v>705</v>
      </c>
      <c r="B36" s="403">
        <v>15062403</v>
      </c>
      <c r="C36" s="403">
        <v>72</v>
      </c>
      <c r="D36" s="402"/>
      <c r="E36" s="402" t="s">
        <v>890</v>
      </c>
      <c r="F36" s="558">
        <v>9357.19</v>
      </c>
      <c r="G36" s="561">
        <v>8760.4699999999993</v>
      </c>
      <c r="H36" s="563">
        <v>9185.35</v>
      </c>
      <c r="I36" s="567">
        <v>9670.6200000000008</v>
      </c>
      <c r="J36" s="568">
        <v>8618.4</v>
      </c>
      <c r="K36" s="572">
        <v>7306.96</v>
      </c>
      <c r="L36" s="576">
        <v>7083.33</v>
      </c>
      <c r="M36" s="583">
        <v>6250.61</v>
      </c>
      <c r="N36" s="585">
        <v>8089.38</v>
      </c>
      <c r="O36" s="482"/>
      <c r="P36" s="482"/>
      <c r="Q36" s="482"/>
      <c r="R36" s="586">
        <f t="shared" si="4"/>
        <v>74322.310000000012</v>
      </c>
      <c r="S36" s="412">
        <f t="shared" si="5"/>
        <v>52898.990000000005</v>
      </c>
      <c r="T36" s="412">
        <f>+'2023'!R34</f>
        <v>49212.25</v>
      </c>
      <c r="U36" s="579">
        <f t="shared" si="6"/>
        <v>74322.310000000012</v>
      </c>
      <c r="W36" s="9">
        <f t="shared" si="23"/>
        <v>0</v>
      </c>
      <c r="X36" s="9">
        <f t="shared" si="23"/>
        <v>0</v>
      </c>
      <c r="Y36" s="9">
        <f t="shared" si="23"/>
        <v>0</v>
      </c>
      <c r="Z36" s="9">
        <f t="shared" si="23"/>
        <v>0</v>
      </c>
      <c r="AA36" s="9">
        <f t="shared" si="23"/>
        <v>0</v>
      </c>
      <c r="AB36" s="9">
        <f t="shared" si="23"/>
        <v>0</v>
      </c>
      <c r="AC36" s="9">
        <f t="shared" si="23"/>
        <v>0</v>
      </c>
      <c r="AD36" s="9">
        <f t="shared" si="23"/>
        <v>0</v>
      </c>
      <c r="AE36" s="9">
        <f t="shared" si="23"/>
        <v>0</v>
      </c>
      <c r="AF36" s="9">
        <f t="shared" si="23"/>
        <v>0</v>
      </c>
      <c r="AG36" s="9">
        <f t="shared" si="23"/>
        <v>0</v>
      </c>
      <c r="AH36" s="9">
        <f t="shared" si="23"/>
        <v>0</v>
      </c>
      <c r="AI36" s="9">
        <f t="shared" si="23"/>
        <v>0</v>
      </c>
      <c r="AJ36" s="9">
        <f t="shared" si="23"/>
        <v>0</v>
      </c>
      <c r="AK36" s="9">
        <f t="shared" ref="AK36:AK51" si="24">+IF($A36=AK$3,$U36,0)</f>
        <v>0</v>
      </c>
      <c r="AL36" s="9">
        <f t="shared" si="20"/>
        <v>74322.310000000012</v>
      </c>
      <c r="AM36" s="365">
        <f t="shared" si="3"/>
        <v>74322.310000000012</v>
      </c>
      <c r="AN36" s="412">
        <f t="shared" si="7"/>
        <v>74322.310000000012</v>
      </c>
      <c r="AO36" s="412">
        <f t="shared" si="8"/>
        <v>0</v>
      </c>
    </row>
    <row r="37" spans="1:41" ht="14">
      <c r="A37" s="402" t="s">
        <v>535</v>
      </c>
      <c r="B37" s="403">
        <v>15006827</v>
      </c>
      <c r="C37" s="403">
        <v>114</v>
      </c>
      <c r="D37" s="402" t="s">
        <v>598</v>
      </c>
      <c r="E37" s="402" t="s">
        <v>344</v>
      </c>
      <c r="F37" s="558">
        <v>24064.47</v>
      </c>
      <c r="G37" s="567">
        <f>12946.28+9569.54</f>
        <v>22515.82</v>
      </c>
      <c r="H37" s="567">
        <v>25625.43</v>
      </c>
      <c r="I37" s="567">
        <v>30655.279999999999</v>
      </c>
      <c r="J37" s="572">
        <v>18683.96</v>
      </c>
      <c r="K37" s="572">
        <v>15282.72</v>
      </c>
      <c r="L37" s="576">
        <v>10500.55</v>
      </c>
      <c r="M37" s="583">
        <v>10880.44</v>
      </c>
      <c r="N37" s="482"/>
      <c r="O37" s="482"/>
      <c r="P37" s="482"/>
      <c r="Q37" s="482"/>
      <c r="R37" s="586">
        <f t="shared" si="4"/>
        <v>158208.66999999998</v>
      </c>
      <c r="S37" s="412">
        <f t="shared" si="5"/>
        <v>136827.68</v>
      </c>
      <c r="T37" s="412">
        <f>+'2023'!R35</f>
        <v>130731.24</v>
      </c>
      <c r="U37" s="579">
        <f t="shared" si="6"/>
        <v>158208.66999999998</v>
      </c>
      <c r="W37" s="9">
        <f t="shared" si="23"/>
        <v>0</v>
      </c>
      <c r="X37" s="9">
        <f t="shared" si="23"/>
        <v>0</v>
      </c>
      <c r="Y37" s="9">
        <f t="shared" si="23"/>
        <v>0</v>
      </c>
      <c r="Z37" s="9">
        <f t="shared" si="23"/>
        <v>0</v>
      </c>
      <c r="AA37" s="9">
        <f t="shared" si="23"/>
        <v>0</v>
      </c>
      <c r="AB37" s="9">
        <f t="shared" si="23"/>
        <v>0</v>
      </c>
      <c r="AC37" s="9">
        <f t="shared" si="23"/>
        <v>0</v>
      </c>
      <c r="AD37" s="9">
        <f t="shared" si="23"/>
        <v>158208.66999999998</v>
      </c>
      <c r="AE37" s="9">
        <f t="shared" si="23"/>
        <v>0</v>
      </c>
      <c r="AF37" s="9">
        <f t="shared" si="23"/>
        <v>0</v>
      </c>
      <c r="AG37" s="9">
        <f t="shared" si="23"/>
        <v>0</v>
      </c>
      <c r="AH37" s="9">
        <f t="shared" si="23"/>
        <v>0</v>
      </c>
      <c r="AI37" s="9">
        <f t="shared" si="23"/>
        <v>0</v>
      </c>
      <c r="AJ37" s="9">
        <f t="shared" si="23"/>
        <v>0</v>
      </c>
      <c r="AK37" s="9">
        <f t="shared" si="24"/>
        <v>0</v>
      </c>
      <c r="AL37" s="9">
        <f t="shared" si="20"/>
        <v>0</v>
      </c>
      <c r="AM37" s="365">
        <f t="shared" si="3"/>
        <v>158208.66999999998</v>
      </c>
      <c r="AN37" s="412">
        <f t="shared" si="7"/>
        <v>158208.66999999998</v>
      </c>
      <c r="AO37" s="412">
        <f t="shared" si="8"/>
        <v>0</v>
      </c>
    </row>
    <row r="38" spans="1:41" ht="14">
      <c r="A38" s="402" t="s">
        <v>537</v>
      </c>
      <c r="B38" s="403">
        <v>15036833</v>
      </c>
      <c r="C38" s="403">
        <v>60</v>
      </c>
      <c r="D38" s="402" t="s">
        <v>591</v>
      </c>
      <c r="E38" s="402" t="s">
        <v>591</v>
      </c>
      <c r="F38" s="558">
        <v>11256.36</v>
      </c>
      <c r="G38" s="561">
        <v>11267.82</v>
      </c>
      <c r="H38" s="563">
        <v>13726.85</v>
      </c>
      <c r="I38" s="567">
        <v>16413.73</v>
      </c>
      <c r="J38" s="568">
        <v>10342.51</v>
      </c>
      <c r="K38" s="572">
        <v>9454.3799999999992</v>
      </c>
      <c r="L38" s="576">
        <v>5957.1</v>
      </c>
      <c r="M38" s="583">
        <v>9288.06</v>
      </c>
      <c r="N38" s="585">
        <v>9682.01</v>
      </c>
      <c r="O38" s="482"/>
      <c r="P38" s="482"/>
      <c r="Q38" s="482"/>
      <c r="R38" s="586">
        <f t="shared" si="4"/>
        <v>97388.819999999992</v>
      </c>
      <c r="S38" s="412">
        <f t="shared" si="5"/>
        <v>72461.649999999994</v>
      </c>
      <c r="T38" s="412">
        <f>+'2023'!R36</f>
        <v>62461.020000000004</v>
      </c>
      <c r="U38" s="579">
        <f t="shared" si="6"/>
        <v>97388.819999999992</v>
      </c>
      <c r="W38" s="9">
        <f t="shared" si="23"/>
        <v>0</v>
      </c>
      <c r="X38" s="9">
        <f t="shared" si="23"/>
        <v>97388.819999999992</v>
      </c>
      <c r="Y38" s="9">
        <f t="shared" si="23"/>
        <v>0</v>
      </c>
      <c r="Z38" s="9">
        <f t="shared" si="23"/>
        <v>0</v>
      </c>
      <c r="AA38" s="9">
        <f t="shared" si="23"/>
        <v>0</v>
      </c>
      <c r="AB38" s="9">
        <f t="shared" si="23"/>
        <v>0</v>
      </c>
      <c r="AC38" s="9">
        <f t="shared" si="23"/>
        <v>0</v>
      </c>
      <c r="AD38" s="9">
        <f t="shared" si="23"/>
        <v>0</v>
      </c>
      <c r="AE38" s="9">
        <f t="shared" si="23"/>
        <v>0</v>
      </c>
      <c r="AF38" s="9">
        <f t="shared" si="23"/>
        <v>0</v>
      </c>
      <c r="AG38" s="9">
        <f t="shared" si="23"/>
        <v>0</v>
      </c>
      <c r="AH38" s="9">
        <f t="shared" si="23"/>
        <v>0</v>
      </c>
      <c r="AI38" s="9">
        <f t="shared" si="23"/>
        <v>0</v>
      </c>
      <c r="AJ38" s="9">
        <f t="shared" si="23"/>
        <v>0</v>
      </c>
      <c r="AK38" s="9">
        <f t="shared" si="24"/>
        <v>0</v>
      </c>
      <c r="AL38" s="9">
        <f t="shared" si="20"/>
        <v>0</v>
      </c>
      <c r="AM38" s="365">
        <f t="shared" si="3"/>
        <v>97388.819999999992</v>
      </c>
      <c r="AN38" s="412">
        <f t="shared" si="7"/>
        <v>97388.819999999992</v>
      </c>
      <c r="AO38" s="412">
        <f t="shared" si="8"/>
        <v>0</v>
      </c>
    </row>
    <row r="39" spans="1:41" ht="14">
      <c r="A39" s="402" t="s">
        <v>530</v>
      </c>
      <c r="B39" s="403">
        <v>15059799</v>
      </c>
      <c r="C39" s="403">
        <v>84</v>
      </c>
      <c r="D39" s="402"/>
      <c r="E39" s="402" t="s">
        <v>887</v>
      </c>
      <c r="F39" s="558">
        <v>16673.37</v>
      </c>
      <c r="G39" s="561">
        <v>13603.15</v>
      </c>
      <c r="H39" s="563">
        <v>15576.08</v>
      </c>
      <c r="I39" s="567">
        <v>18817.650000000001</v>
      </c>
      <c r="J39" s="568">
        <v>12855.08</v>
      </c>
      <c r="K39" s="572">
        <v>7834.84</v>
      </c>
      <c r="L39" s="576">
        <v>6279.68</v>
      </c>
      <c r="M39" s="583">
        <v>10187.709999999999</v>
      </c>
      <c r="N39" s="585">
        <v>15351.09</v>
      </c>
      <c r="O39" s="482"/>
      <c r="P39" s="482"/>
      <c r="Q39" s="482"/>
      <c r="R39" s="586">
        <f t="shared" si="4"/>
        <v>117178.65</v>
      </c>
      <c r="S39" s="412">
        <f t="shared" si="5"/>
        <v>85360.17</v>
      </c>
      <c r="T39" s="412">
        <f>+'2023'!R37</f>
        <v>91538.18</v>
      </c>
      <c r="U39" s="579">
        <f t="shared" si="6"/>
        <v>117178.65</v>
      </c>
      <c r="W39" s="9">
        <f t="shared" si="23"/>
        <v>0</v>
      </c>
      <c r="X39" s="9">
        <f t="shared" si="23"/>
        <v>0</v>
      </c>
      <c r="Y39" s="9">
        <f t="shared" si="23"/>
        <v>0</v>
      </c>
      <c r="Z39" s="9">
        <f t="shared" si="23"/>
        <v>0</v>
      </c>
      <c r="AA39" s="9">
        <f t="shared" si="23"/>
        <v>0</v>
      </c>
      <c r="AB39" s="9">
        <f t="shared" si="23"/>
        <v>117178.65</v>
      </c>
      <c r="AC39" s="9">
        <f t="shared" si="23"/>
        <v>0</v>
      </c>
      <c r="AD39" s="9">
        <f t="shared" si="23"/>
        <v>0</v>
      </c>
      <c r="AE39" s="9">
        <f t="shared" si="23"/>
        <v>0</v>
      </c>
      <c r="AF39" s="9">
        <f t="shared" si="23"/>
        <v>0</v>
      </c>
      <c r="AG39" s="9">
        <f t="shared" si="23"/>
        <v>0</v>
      </c>
      <c r="AH39" s="9">
        <f t="shared" si="23"/>
        <v>0</v>
      </c>
      <c r="AI39" s="9">
        <f t="shared" si="23"/>
        <v>0</v>
      </c>
      <c r="AJ39" s="9">
        <f t="shared" si="23"/>
        <v>0</v>
      </c>
      <c r="AK39" s="9">
        <f t="shared" si="24"/>
        <v>0</v>
      </c>
      <c r="AL39" s="9">
        <f t="shared" si="20"/>
        <v>0</v>
      </c>
      <c r="AM39" s="365">
        <f t="shared" si="3"/>
        <v>117178.65</v>
      </c>
      <c r="AN39" s="412">
        <f t="shared" si="7"/>
        <v>117178.65</v>
      </c>
      <c r="AO39" s="412">
        <f t="shared" si="8"/>
        <v>0</v>
      </c>
    </row>
    <row r="40" spans="1:41" ht="14">
      <c r="A40" s="402" t="s">
        <v>659</v>
      </c>
      <c r="B40" s="403">
        <v>10576897</v>
      </c>
      <c r="C40" s="403">
        <v>84</v>
      </c>
      <c r="D40" s="402"/>
      <c r="E40" s="402" t="s">
        <v>1023</v>
      </c>
      <c r="F40" s="490"/>
      <c r="G40" s="561">
        <v>1337.53</v>
      </c>
      <c r="H40" s="563">
        <v>704.44</v>
      </c>
      <c r="I40" s="567">
        <v>646.64</v>
      </c>
      <c r="J40" s="572">
        <v>564.29999999999995</v>
      </c>
      <c r="K40" s="482"/>
      <c r="L40" s="583">
        <v>270.14</v>
      </c>
      <c r="M40" s="583">
        <v>905.25</v>
      </c>
      <c r="N40" s="482"/>
      <c r="O40" s="482"/>
      <c r="P40" s="482"/>
      <c r="Q40" s="482"/>
      <c r="R40" s="586">
        <f t="shared" si="4"/>
        <v>4428.2999999999993</v>
      </c>
      <c r="S40" s="412">
        <f t="shared" si="5"/>
        <v>3252.91</v>
      </c>
      <c r="T40" s="412">
        <f>+'2023'!R89</f>
        <v>7523.85</v>
      </c>
      <c r="U40" s="579">
        <f t="shared" si="6"/>
        <v>4428.2999999999993</v>
      </c>
      <c r="W40" s="9">
        <f t="shared" ref="W40:AJ49" si="25">+IF($A40=W$3,$U40,0)</f>
        <v>0</v>
      </c>
      <c r="X40" s="9">
        <f t="shared" si="25"/>
        <v>0</v>
      </c>
      <c r="Y40" s="9">
        <f t="shared" si="25"/>
        <v>0</v>
      </c>
      <c r="Z40" s="9">
        <f t="shared" si="25"/>
        <v>0</v>
      </c>
      <c r="AA40" s="9">
        <f t="shared" si="25"/>
        <v>0</v>
      </c>
      <c r="AB40" s="9">
        <f t="shared" si="25"/>
        <v>0</v>
      </c>
      <c r="AC40" s="9">
        <f t="shared" si="25"/>
        <v>0</v>
      </c>
      <c r="AD40" s="9">
        <f t="shared" si="25"/>
        <v>0</v>
      </c>
      <c r="AE40" s="9">
        <f t="shared" si="25"/>
        <v>0</v>
      </c>
      <c r="AF40" s="9">
        <f t="shared" si="25"/>
        <v>0</v>
      </c>
      <c r="AG40" s="9">
        <f t="shared" si="25"/>
        <v>0</v>
      </c>
      <c r="AH40" s="9">
        <f t="shared" si="25"/>
        <v>4428.2999999999993</v>
      </c>
      <c r="AI40" s="9">
        <f t="shared" si="25"/>
        <v>0</v>
      </c>
      <c r="AJ40" s="9">
        <f t="shared" si="25"/>
        <v>0</v>
      </c>
      <c r="AK40" s="9">
        <f t="shared" si="24"/>
        <v>0</v>
      </c>
      <c r="AL40" s="9">
        <f t="shared" si="20"/>
        <v>0</v>
      </c>
      <c r="AM40" s="365">
        <f t="shared" si="3"/>
        <v>4428.2999999999993</v>
      </c>
      <c r="AN40" s="412">
        <f t="shared" si="7"/>
        <v>4428.2999999999993</v>
      </c>
      <c r="AO40" s="412">
        <f t="shared" si="8"/>
        <v>0</v>
      </c>
    </row>
    <row r="41" spans="1:41" ht="14">
      <c r="A41" s="402" t="s">
        <v>1000</v>
      </c>
      <c r="B41" s="403">
        <v>15076545</v>
      </c>
      <c r="C41" s="403"/>
      <c r="D41" s="402"/>
      <c r="E41" s="402" t="s">
        <v>1040</v>
      </c>
      <c r="F41" s="572">
        <v>165.46</v>
      </c>
      <c r="G41" s="572">
        <v>454.52</v>
      </c>
      <c r="H41" s="572">
        <v>1412.36</v>
      </c>
      <c r="I41" s="567"/>
      <c r="J41" s="482"/>
      <c r="K41" s="482"/>
      <c r="L41" s="482"/>
      <c r="M41" s="482"/>
      <c r="N41" s="482"/>
      <c r="O41" s="482"/>
      <c r="P41" s="482"/>
      <c r="Q41" s="482"/>
      <c r="R41" s="586">
        <f t="shared" si="4"/>
        <v>2032.34</v>
      </c>
      <c r="S41" s="412">
        <f t="shared" si="5"/>
        <v>2032.34</v>
      </c>
      <c r="T41" s="412"/>
      <c r="U41" s="579">
        <f t="shared" si="6"/>
        <v>2032.34</v>
      </c>
      <c r="W41" s="9">
        <f t="shared" si="25"/>
        <v>0</v>
      </c>
      <c r="X41" s="9">
        <f t="shared" si="25"/>
        <v>0</v>
      </c>
      <c r="Y41" s="9">
        <f t="shared" si="25"/>
        <v>0</v>
      </c>
      <c r="Z41" s="9">
        <f t="shared" si="25"/>
        <v>0</v>
      </c>
      <c r="AA41" s="9">
        <f t="shared" si="25"/>
        <v>0</v>
      </c>
      <c r="AB41" s="9">
        <f t="shared" si="25"/>
        <v>0</v>
      </c>
      <c r="AC41" s="9">
        <f t="shared" si="25"/>
        <v>0</v>
      </c>
      <c r="AD41" s="9">
        <f t="shared" si="25"/>
        <v>0</v>
      </c>
      <c r="AE41" s="9">
        <f t="shared" si="25"/>
        <v>0</v>
      </c>
      <c r="AF41" s="9">
        <f t="shared" si="25"/>
        <v>0</v>
      </c>
      <c r="AG41" s="9">
        <f t="shared" si="25"/>
        <v>0</v>
      </c>
      <c r="AH41" s="9">
        <f t="shared" si="25"/>
        <v>0</v>
      </c>
      <c r="AI41" s="9">
        <f t="shared" si="25"/>
        <v>0</v>
      </c>
      <c r="AJ41" s="9">
        <f t="shared" si="25"/>
        <v>2032.34</v>
      </c>
      <c r="AK41" s="9">
        <f t="shared" si="24"/>
        <v>0</v>
      </c>
      <c r="AL41" s="9">
        <f t="shared" si="20"/>
        <v>0</v>
      </c>
      <c r="AM41" s="365">
        <f t="shared" si="3"/>
        <v>2032.34</v>
      </c>
      <c r="AN41" s="412">
        <f t="shared" si="7"/>
        <v>2032.34</v>
      </c>
      <c r="AO41" s="412">
        <f t="shared" si="8"/>
        <v>0</v>
      </c>
    </row>
    <row r="42" spans="1:41" ht="14">
      <c r="A42" s="402" t="s">
        <v>530</v>
      </c>
      <c r="B42" s="403">
        <v>7002501</v>
      </c>
      <c r="C42" s="403">
        <v>79</v>
      </c>
      <c r="D42" s="402"/>
      <c r="E42" s="402" t="s">
        <v>892</v>
      </c>
      <c r="F42" s="558">
        <v>20095.38</v>
      </c>
      <c r="G42" s="561">
        <v>18556</v>
      </c>
      <c r="H42" s="563">
        <v>19421.55</v>
      </c>
      <c r="I42" s="567">
        <v>23481.46</v>
      </c>
      <c r="J42" s="568">
        <v>14909.46</v>
      </c>
      <c r="K42" s="572">
        <v>9723.6</v>
      </c>
      <c r="L42" s="576">
        <v>8151.97</v>
      </c>
      <c r="M42" s="583">
        <v>10554.84</v>
      </c>
      <c r="N42" s="585">
        <v>15312.76</v>
      </c>
      <c r="O42" s="482"/>
      <c r="P42" s="482"/>
      <c r="Q42" s="482"/>
      <c r="R42" s="586">
        <f t="shared" si="4"/>
        <v>140207.02000000002</v>
      </c>
      <c r="S42" s="412">
        <f t="shared" si="5"/>
        <v>106187.45000000001</v>
      </c>
      <c r="T42" s="412">
        <f>+'2023'!R38</f>
        <v>97336.47</v>
      </c>
      <c r="U42" s="579">
        <f t="shared" si="6"/>
        <v>140207.02000000002</v>
      </c>
      <c r="W42" s="9">
        <f t="shared" si="25"/>
        <v>0</v>
      </c>
      <c r="X42" s="9">
        <f t="shared" si="25"/>
        <v>0</v>
      </c>
      <c r="Y42" s="9">
        <f t="shared" si="25"/>
        <v>0</v>
      </c>
      <c r="Z42" s="9">
        <f t="shared" si="25"/>
        <v>0</v>
      </c>
      <c r="AA42" s="9">
        <f t="shared" si="25"/>
        <v>0</v>
      </c>
      <c r="AB42" s="9">
        <f t="shared" si="25"/>
        <v>140207.02000000002</v>
      </c>
      <c r="AC42" s="9">
        <f t="shared" si="25"/>
        <v>0</v>
      </c>
      <c r="AD42" s="9">
        <f t="shared" si="25"/>
        <v>0</v>
      </c>
      <c r="AE42" s="9">
        <f t="shared" si="25"/>
        <v>0</v>
      </c>
      <c r="AF42" s="9">
        <f t="shared" si="25"/>
        <v>0</v>
      </c>
      <c r="AG42" s="9">
        <f t="shared" si="25"/>
        <v>0</v>
      </c>
      <c r="AH42" s="9">
        <f t="shared" si="25"/>
        <v>0</v>
      </c>
      <c r="AI42" s="9">
        <f t="shared" si="25"/>
        <v>0</v>
      </c>
      <c r="AJ42" s="9">
        <f t="shared" si="25"/>
        <v>0</v>
      </c>
      <c r="AK42" s="9">
        <f t="shared" si="24"/>
        <v>0</v>
      </c>
      <c r="AL42" s="9">
        <f t="shared" si="20"/>
        <v>0</v>
      </c>
      <c r="AM42" s="365">
        <f t="shared" si="3"/>
        <v>140207.02000000002</v>
      </c>
      <c r="AN42" s="412">
        <f t="shared" si="7"/>
        <v>140207.02000000002</v>
      </c>
      <c r="AO42" s="412">
        <f t="shared" si="8"/>
        <v>0</v>
      </c>
    </row>
    <row r="43" spans="1:41" ht="14">
      <c r="A43" s="402" t="s">
        <v>659</v>
      </c>
      <c r="B43" s="403">
        <v>15056860</v>
      </c>
      <c r="C43" s="403">
        <v>56</v>
      </c>
      <c r="D43" s="402" t="s">
        <v>565</v>
      </c>
      <c r="E43" s="402" t="s">
        <v>565</v>
      </c>
      <c r="F43" s="558">
        <v>4626</v>
      </c>
      <c r="G43" s="561">
        <v>2966.08</v>
      </c>
      <c r="H43" s="563">
        <v>3955.9</v>
      </c>
      <c r="I43" s="567">
        <v>5103.6899999999996</v>
      </c>
      <c r="J43" s="585">
        <v>3073.65</v>
      </c>
      <c r="K43" s="572">
        <v>2155.83</v>
      </c>
      <c r="L43" s="576">
        <v>1556.28</v>
      </c>
      <c r="M43" s="583">
        <v>1907.14</v>
      </c>
      <c r="N43" s="585">
        <v>2601</v>
      </c>
      <c r="O43" s="482"/>
      <c r="P43" s="482"/>
      <c r="Q43" s="482"/>
      <c r="R43" s="586">
        <f t="shared" si="4"/>
        <v>27945.57</v>
      </c>
      <c r="S43" s="412">
        <f t="shared" si="5"/>
        <v>21881.15</v>
      </c>
      <c r="T43" s="412">
        <f>+'2023'!R39</f>
        <v>26858.46</v>
      </c>
      <c r="U43" s="579">
        <f t="shared" si="6"/>
        <v>27945.57</v>
      </c>
      <c r="W43" s="9">
        <f t="shared" si="25"/>
        <v>0</v>
      </c>
      <c r="X43" s="9">
        <f t="shared" si="25"/>
        <v>0</v>
      </c>
      <c r="Y43" s="9">
        <f t="shared" si="25"/>
        <v>0</v>
      </c>
      <c r="Z43" s="9">
        <f t="shared" si="25"/>
        <v>0</v>
      </c>
      <c r="AA43" s="9">
        <f t="shared" si="25"/>
        <v>0</v>
      </c>
      <c r="AB43" s="9">
        <f t="shared" si="25"/>
        <v>0</v>
      </c>
      <c r="AC43" s="9">
        <f t="shared" si="25"/>
        <v>0</v>
      </c>
      <c r="AD43" s="9">
        <f t="shared" si="25"/>
        <v>0</v>
      </c>
      <c r="AE43" s="9">
        <f t="shared" si="25"/>
        <v>0</v>
      </c>
      <c r="AF43" s="9">
        <f t="shared" si="25"/>
        <v>0</v>
      </c>
      <c r="AG43" s="9">
        <f t="shared" si="25"/>
        <v>0</v>
      </c>
      <c r="AH43" s="9">
        <f t="shared" si="25"/>
        <v>27945.57</v>
      </c>
      <c r="AI43" s="9">
        <f t="shared" si="25"/>
        <v>0</v>
      </c>
      <c r="AJ43" s="9">
        <f t="shared" si="25"/>
        <v>0</v>
      </c>
      <c r="AK43" s="9">
        <f t="shared" si="24"/>
        <v>0</v>
      </c>
      <c r="AL43" s="9">
        <f t="shared" si="20"/>
        <v>0</v>
      </c>
      <c r="AM43" s="365">
        <f t="shared" si="3"/>
        <v>27945.57</v>
      </c>
      <c r="AN43" s="412">
        <f t="shared" si="7"/>
        <v>27945.57</v>
      </c>
      <c r="AO43" s="412">
        <f t="shared" si="8"/>
        <v>0</v>
      </c>
    </row>
    <row r="44" spans="1:41" ht="14">
      <c r="A44" s="402" t="s">
        <v>659</v>
      </c>
      <c r="B44" s="403">
        <v>15007588</v>
      </c>
      <c r="C44" s="403">
        <v>125</v>
      </c>
      <c r="D44" s="402" t="s">
        <v>620</v>
      </c>
      <c r="E44" s="402" t="s">
        <v>667</v>
      </c>
      <c r="F44" s="558">
        <v>26211.95</v>
      </c>
      <c r="G44" s="561">
        <v>19978.93</v>
      </c>
      <c r="H44" s="563">
        <v>23154.13</v>
      </c>
      <c r="I44" s="567">
        <v>32010.14</v>
      </c>
      <c r="J44" s="568">
        <v>18901.71</v>
      </c>
      <c r="K44" s="572">
        <v>10746.3</v>
      </c>
      <c r="L44" s="576">
        <v>8812.77</v>
      </c>
      <c r="M44" s="583">
        <v>11701.8</v>
      </c>
      <c r="N44" s="585">
        <v>19823.88</v>
      </c>
      <c r="O44" s="482"/>
      <c r="P44" s="482"/>
      <c r="Q44" s="482"/>
      <c r="R44" s="586">
        <f t="shared" si="4"/>
        <v>171341.61000000002</v>
      </c>
      <c r="S44" s="412">
        <f t="shared" si="5"/>
        <v>131003.16000000002</v>
      </c>
      <c r="T44" s="412">
        <f>+'2023'!R40</f>
        <v>104322.15</v>
      </c>
      <c r="U44" s="579">
        <f t="shared" si="6"/>
        <v>171341.61000000002</v>
      </c>
      <c r="W44" s="9">
        <f t="shared" si="25"/>
        <v>0</v>
      </c>
      <c r="X44" s="9">
        <f t="shared" si="25"/>
        <v>0</v>
      </c>
      <c r="Y44" s="9">
        <f t="shared" si="25"/>
        <v>0</v>
      </c>
      <c r="Z44" s="9">
        <f t="shared" si="25"/>
        <v>0</v>
      </c>
      <c r="AA44" s="9">
        <f t="shared" si="25"/>
        <v>0</v>
      </c>
      <c r="AB44" s="9">
        <f t="shared" si="25"/>
        <v>0</v>
      </c>
      <c r="AC44" s="9">
        <f t="shared" si="25"/>
        <v>0</v>
      </c>
      <c r="AD44" s="9">
        <f t="shared" si="25"/>
        <v>0</v>
      </c>
      <c r="AE44" s="9">
        <f t="shared" si="25"/>
        <v>0</v>
      </c>
      <c r="AF44" s="9">
        <f t="shared" si="25"/>
        <v>0</v>
      </c>
      <c r="AG44" s="9">
        <f t="shared" si="25"/>
        <v>0</v>
      </c>
      <c r="AH44" s="9">
        <f t="shared" si="25"/>
        <v>171341.61000000002</v>
      </c>
      <c r="AI44" s="9">
        <f t="shared" si="25"/>
        <v>0</v>
      </c>
      <c r="AJ44" s="9">
        <f t="shared" si="25"/>
        <v>0</v>
      </c>
      <c r="AK44" s="9">
        <f t="shared" si="24"/>
        <v>0</v>
      </c>
      <c r="AL44" s="9">
        <f t="shared" si="20"/>
        <v>0</v>
      </c>
      <c r="AM44" s="365">
        <f t="shared" si="3"/>
        <v>171341.61000000002</v>
      </c>
      <c r="AN44" s="412">
        <f t="shared" si="7"/>
        <v>171341.61000000002</v>
      </c>
      <c r="AO44" s="412">
        <f t="shared" si="8"/>
        <v>0</v>
      </c>
    </row>
    <row r="45" spans="1:41" ht="14">
      <c r="A45" s="402" t="s">
        <v>537</v>
      </c>
      <c r="B45" s="403">
        <v>15073684</v>
      </c>
      <c r="C45" s="403">
        <v>67</v>
      </c>
      <c r="D45" s="402" t="s">
        <v>261</v>
      </c>
      <c r="E45" s="402" t="s">
        <v>971</v>
      </c>
      <c r="F45" s="558">
        <v>15906.84</v>
      </c>
      <c r="G45" s="561">
        <v>12380.39</v>
      </c>
      <c r="H45" s="563">
        <v>14447.4</v>
      </c>
      <c r="I45" s="567">
        <v>20642.75</v>
      </c>
      <c r="J45" s="568">
        <v>11873.94</v>
      </c>
      <c r="K45" s="572">
        <v>6624.56</v>
      </c>
      <c r="L45" s="576">
        <v>7863.14</v>
      </c>
      <c r="M45" s="583">
        <v>9341.2099999999991</v>
      </c>
      <c r="N45" s="585">
        <v>12879.72</v>
      </c>
      <c r="O45" s="482"/>
      <c r="P45" s="482"/>
      <c r="Q45" s="482"/>
      <c r="R45" s="586">
        <f t="shared" si="4"/>
        <v>111959.94999999998</v>
      </c>
      <c r="S45" s="412">
        <f t="shared" si="5"/>
        <v>81875.87999999999</v>
      </c>
      <c r="T45" s="412">
        <f>+'2023'!R63</f>
        <v>89154.069999999992</v>
      </c>
      <c r="U45" s="579">
        <f t="shared" si="6"/>
        <v>111959.94999999998</v>
      </c>
      <c r="W45" s="9">
        <f t="shared" si="25"/>
        <v>0</v>
      </c>
      <c r="X45" s="9">
        <f t="shared" si="25"/>
        <v>111959.94999999998</v>
      </c>
      <c r="Y45" s="9">
        <f t="shared" si="25"/>
        <v>0</v>
      </c>
      <c r="Z45" s="9">
        <f t="shared" si="25"/>
        <v>0</v>
      </c>
      <c r="AA45" s="9">
        <f t="shared" si="25"/>
        <v>0</v>
      </c>
      <c r="AB45" s="9">
        <f t="shared" si="25"/>
        <v>0</v>
      </c>
      <c r="AC45" s="9">
        <f t="shared" si="25"/>
        <v>0</v>
      </c>
      <c r="AD45" s="9">
        <f t="shared" si="25"/>
        <v>0</v>
      </c>
      <c r="AE45" s="9">
        <f t="shared" si="25"/>
        <v>0</v>
      </c>
      <c r="AF45" s="9">
        <f t="shared" si="25"/>
        <v>0</v>
      </c>
      <c r="AG45" s="9">
        <f t="shared" si="25"/>
        <v>0</v>
      </c>
      <c r="AH45" s="9">
        <f t="shared" si="25"/>
        <v>0</v>
      </c>
      <c r="AI45" s="9">
        <f t="shared" si="25"/>
        <v>0</v>
      </c>
      <c r="AJ45" s="9">
        <f t="shared" si="25"/>
        <v>0</v>
      </c>
      <c r="AK45" s="9">
        <f t="shared" si="24"/>
        <v>0</v>
      </c>
      <c r="AL45" s="9">
        <f t="shared" si="20"/>
        <v>0</v>
      </c>
      <c r="AM45" s="365">
        <f t="shared" si="3"/>
        <v>111959.94999999998</v>
      </c>
      <c r="AN45" s="412">
        <f t="shared" si="7"/>
        <v>111959.94999999998</v>
      </c>
      <c r="AO45" s="412">
        <f t="shared" si="8"/>
        <v>0</v>
      </c>
    </row>
    <row r="46" spans="1:41" ht="14">
      <c r="A46" s="402" t="s">
        <v>658</v>
      </c>
      <c r="B46" s="403">
        <v>15034969</v>
      </c>
      <c r="C46" s="403">
        <v>88</v>
      </c>
      <c r="D46" s="402" t="s">
        <v>732</v>
      </c>
      <c r="E46" s="402" t="s">
        <v>667</v>
      </c>
      <c r="F46" s="558">
        <v>22644.18</v>
      </c>
      <c r="G46" s="567">
        <v>21079.32</v>
      </c>
      <c r="H46" s="567">
        <v>23163.279999999999</v>
      </c>
      <c r="I46" s="572">
        <v>30113.56</v>
      </c>
      <c r="J46" s="572">
        <v>17922.41</v>
      </c>
      <c r="K46" s="482"/>
      <c r="L46" s="576">
        <v>15186.44</v>
      </c>
      <c r="M46" s="583">
        <v>16362.67</v>
      </c>
      <c r="N46" s="585">
        <v>19243.259999999998</v>
      </c>
      <c r="O46" s="482"/>
      <c r="P46" s="482"/>
      <c r="Q46" s="482"/>
      <c r="R46" s="586">
        <f t="shared" si="4"/>
        <v>165715.12000000002</v>
      </c>
      <c r="S46" s="412">
        <f t="shared" si="5"/>
        <v>114922.75</v>
      </c>
      <c r="T46" s="412">
        <f>+'2023'!R41</f>
        <v>110835.20000000001</v>
      </c>
      <c r="U46" s="579">
        <f t="shared" si="6"/>
        <v>165715.12000000002</v>
      </c>
      <c r="W46" s="9">
        <f t="shared" si="25"/>
        <v>0</v>
      </c>
      <c r="X46" s="9">
        <f t="shared" si="25"/>
        <v>0</v>
      </c>
      <c r="Y46" s="9">
        <f t="shared" si="25"/>
        <v>0</v>
      </c>
      <c r="Z46" s="9">
        <f t="shared" si="25"/>
        <v>0</v>
      </c>
      <c r="AA46" s="9">
        <f t="shared" si="25"/>
        <v>0</v>
      </c>
      <c r="AB46" s="9">
        <f t="shared" si="25"/>
        <v>0</v>
      </c>
      <c r="AC46" s="9">
        <f t="shared" si="25"/>
        <v>0</v>
      </c>
      <c r="AD46" s="9">
        <f t="shared" si="25"/>
        <v>0</v>
      </c>
      <c r="AE46" s="9">
        <f t="shared" si="25"/>
        <v>165715.12000000002</v>
      </c>
      <c r="AF46" s="9">
        <f t="shared" si="25"/>
        <v>0</v>
      </c>
      <c r="AG46" s="9">
        <f t="shared" si="25"/>
        <v>0</v>
      </c>
      <c r="AH46" s="9">
        <f t="shared" si="25"/>
        <v>0</v>
      </c>
      <c r="AI46" s="9">
        <f t="shared" si="25"/>
        <v>0</v>
      </c>
      <c r="AJ46" s="9">
        <f t="shared" si="25"/>
        <v>0</v>
      </c>
      <c r="AK46" s="9">
        <f t="shared" si="24"/>
        <v>0</v>
      </c>
      <c r="AL46" s="9">
        <f t="shared" si="20"/>
        <v>0</v>
      </c>
      <c r="AM46" s="365">
        <f t="shared" si="3"/>
        <v>165715.12000000002</v>
      </c>
      <c r="AN46" s="412">
        <f t="shared" si="7"/>
        <v>165715.12000000002</v>
      </c>
      <c r="AO46" s="412">
        <f t="shared" si="8"/>
        <v>0</v>
      </c>
    </row>
    <row r="47" spans="1:41" ht="14">
      <c r="A47" s="402" t="s">
        <v>531</v>
      </c>
      <c r="B47" s="403">
        <v>7003500</v>
      </c>
      <c r="C47" s="403">
        <v>366</v>
      </c>
      <c r="D47" s="402" t="s">
        <v>350</v>
      </c>
      <c r="E47" s="402" t="s">
        <v>350</v>
      </c>
      <c r="F47" s="558">
        <v>85467.61</v>
      </c>
      <c r="G47" s="561">
        <v>91605.36</v>
      </c>
      <c r="H47" s="563">
        <v>125998.33</v>
      </c>
      <c r="I47" s="567">
        <v>157891.16</v>
      </c>
      <c r="J47" s="572">
        <v>91805.87</v>
      </c>
      <c r="K47" s="572">
        <v>65391.519999999997</v>
      </c>
      <c r="L47" s="576">
        <v>50047.57</v>
      </c>
      <c r="M47" s="583">
        <v>81977.72</v>
      </c>
      <c r="N47" s="585">
        <v>107531.24</v>
      </c>
      <c r="O47" s="482"/>
      <c r="P47" s="482"/>
      <c r="Q47" s="482"/>
      <c r="R47" s="586">
        <f t="shared" si="4"/>
        <v>857716.37999999989</v>
      </c>
      <c r="S47" s="412">
        <f t="shared" si="5"/>
        <v>618159.85</v>
      </c>
      <c r="T47" s="412">
        <f>+'2023'!R42</f>
        <v>598413.96</v>
      </c>
      <c r="U47" s="579">
        <f t="shared" si="6"/>
        <v>857716.37999999989</v>
      </c>
      <c r="W47" s="9">
        <f t="shared" si="25"/>
        <v>0</v>
      </c>
      <c r="X47" s="9">
        <f t="shared" si="25"/>
        <v>0</v>
      </c>
      <c r="Y47" s="9">
        <f t="shared" si="25"/>
        <v>0</v>
      </c>
      <c r="Z47" s="9">
        <f t="shared" si="25"/>
        <v>857716.37999999989</v>
      </c>
      <c r="AA47" s="9">
        <f t="shared" si="25"/>
        <v>0</v>
      </c>
      <c r="AB47" s="9">
        <f t="shared" si="25"/>
        <v>0</v>
      </c>
      <c r="AC47" s="9">
        <f t="shared" si="25"/>
        <v>0</v>
      </c>
      <c r="AD47" s="9">
        <f t="shared" si="25"/>
        <v>0</v>
      </c>
      <c r="AE47" s="9">
        <f t="shared" si="25"/>
        <v>0</v>
      </c>
      <c r="AF47" s="9">
        <f t="shared" si="25"/>
        <v>0</v>
      </c>
      <c r="AG47" s="9">
        <f t="shared" si="25"/>
        <v>0</v>
      </c>
      <c r="AH47" s="9">
        <f t="shared" si="25"/>
        <v>0</v>
      </c>
      <c r="AI47" s="9">
        <f t="shared" si="25"/>
        <v>0</v>
      </c>
      <c r="AJ47" s="9">
        <f t="shared" si="25"/>
        <v>0</v>
      </c>
      <c r="AK47" s="9">
        <f t="shared" si="24"/>
        <v>0</v>
      </c>
      <c r="AL47" s="9">
        <f t="shared" si="20"/>
        <v>0</v>
      </c>
      <c r="AM47" s="365">
        <f t="shared" si="3"/>
        <v>857716.37999999989</v>
      </c>
      <c r="AN47" s="412">
        <f t="shared" si="7"/>
        <v>857716.37999999989</v>
      </c>
      <c r="AO47" s="412">
        <f t="shared" si="8"/>
        <v>0</v>
      </c>
    </row>
    <row r="48" spans="1:41" ht="14">
      <c r="A48" s="402" t="s">
        <v>530</v>
      </c>
      <c r="B48" s="403">
        <v>15078590</v>
      </c>
      <c r="C48" s="403">
        <v>100</v>
      </c>
      <c r="D48" s="402" t="s">
        <v>517</v>
      </c>
      <c r="E48" s="402" t="s">
        <v>247</v>
      </c>
      <c r="F48" s="482"/>
      <c r="G48" s="561">
        <v>17310.41</v>
      </c>
      <c r="H48" s="563">
        <v>23402.6</v>
      </c>
      <c r="I48" s="567">
        <v>31012.53</v>
      </c>
      <c r="J48" s="568">
        <v>20155.97</v>
      </c>
      <c r="K48" s="572">
        <v>10603.63</v>
      </c>
      <c r="L48" s="576">
        <v>8799.2800000000007</v>
      </c>
      <c r="M48" s="583">
        <v>12300.98</v>
      </c>
      <c r="N48" s="482"/>
      <c r="O48" s="482"/>
      <c r="P48" s="482"/>
      <c r="Q48" s="482"/>
      <c r="R48" s="586">
        <f t="shared" si="4"/>
        <v>123585.4</v>
      </c>
      <c r="S48" s="412">
        <f t="shared" si="5"/>
        <v>102485.14</v>
      </c>
      <c r="T48" s="412">
        <f>+'2023'!R43</f>
        <v>124323.80000000002</v>
      </c>
      <c r="U48" s="579">
        <f t="shared" si="6"/>
        <v>123585.4</v>
      </c>
      <c r="W48" s="9">
        <f t="shared" si="25"/>
        <v>0</v>
      </c>
      <c r="X48" s="9">
        <f t="shared" si="25"/>
        <v>0</v>
      </c>
      <c r="Y48" s="9">
        <f t="shared" si="25"/>
        <v>0</v>
      </c>
      <c r="Z48" s="9">
        <f t="shared" si="25"/>
        <v>0</v>
      </c>
      <c r="AA48" s="9">
        <f t="shared" si="25"/>
        <v>0</v>
      </c>
      <c r="AB48" s="9">
        <f t="shared" si="25"/>
        <v>123585.4</v>
      </c>
      <c r="AC48" s="9">
        <f t="shared" si="25"/>
        <v>0</v>
      </c>
      <c r="AD48" s="9">
        <f t="shared" si="25"/>
        <v>0</v>
      </c>
      <c r="AE48" s="9">
        <f t="shared" si="25"/>
        <v>0</v>
      </c>
      <c r="AF48" s="9">
        <f t="shared" si="25"/>
        <v>0</v>
      </c>
      <c r="AG48" s="9">
        <f t="shared" si="25"/>
        <v>0</v>
      </c>
      <c r="AH48" s="9">
        <f t="shared" si="25"/>
        <v>0</v>
      </c>
      <c r="AI48" s="9">
        <f t="shared" si="25"/>
        <v>0</v>
      </c>
      <c r="AJ48" s="9">
        <f t="shared" si="25"/>
        <v>0</v>
      </c>
      <c r="AK48" s="9">
        <f t="shared" si="24"/>
        <v>0</v>
      </c>
      <c r="AL48" s="9">
        <f t="shared" si="20"/>
        <v>0</v>
      </c>
      <c r="AM48" s="365">
        <f t="shared" si="3"/>
        <v>123585.4</v>
      </c>
      <c r="AN48" s="412">
        <f t="shared" si="7"/>
        <v>123585.4</v>
      </c>
      <c r="AO48" s="412">
        <f t="shared" si="8"/>
        <v>0</v>
      </c>
    </row>
    <row r="49" spans="1:41" ht="14">
      <c r="A49" s="402" t="s">
        <v>705</v>
      </c>
      <c r="B49" s="403">
        <v>15006999</v>
      </c>
      <c r="C49" s="403">
        <v>82</v>
      </c>
      <c r="D49" s="402" t="s">
        <v>527</v>
      </c>
      <c r="E49" s="402" t="s">
        <v>622</v>
      </c>
      <c r="F49" s="558">
        <v>17030.27</v>
      </c>
      <c r="G49" s="561">
        <v>15824</v>
      </c>
      <c r="H49" s="563">
        <v>20545.46</v>
      </c>
      <c r="I49" s="567">
        <v>25380.28</v>
      </c>
      <c r="J49" s="568">
        <v>16310.64</v>
      </c>
      <c r="K49" s="572">
        <v>10674.49</v>
      </c>
      <c r="L49" s="576">
        <v>10881.31</v>
      </c>
      <c r="M49" s="583">
        <v>14263.53</v>
      </c>
      <c r="N49" s="585">
        <v>16675.97</v>
      </c>
      <c r="O49" s="482"/>
      <c r="P49" s="482"/>
      <c r="Q49" s="482"/>
      <c r="R49" s="586">
        <f t="shared" si="4"/>
        <v>147585.95000000001</v>
      </c>
      <c r="S49" s="412">
        <f t="shared" si="5"/>
        <v>105765.14000000001</v>
      </c>
      <c r="T49" s="412">
        <f>+'2023'!R45</f>
        <v>109718.13</v>
      </c>
      <c r="U49" s="579">
        <f t="shared" si="6"/>
        <v>147585.95000000001</v>
      </c>
      <c r="W49" s="9">
        <f t="shared" si="25"/>
        <v>0</v>
      </c>
      <c r="X49" s="9">
        <f t="shared" si="25"/>
        <v>0</v>
      </c>
      <c r="Y49" s="9">
        <f t="shared" si="25"/>
        <v>0</v>
      </c>
      <c r="Z49" s="9">
        <f t="shared" si="25"/>
        <v>0</v>
      </c>
      <c r="AA49" s="9">
        <f t="shared" si="25"/>
        <v>0</v>
      </c>
      <c r="AB49" s="9">
        <f t="shared" si="25"/>
        <v>0</v>
      </c>
      <c r="AC49" s="9">
        <f t="shared" si="25"/>
        <v>0</v>
      </c>
      <c r="AD49" s="9">
        <f t="shared" si="25"/>
        <v>0</v>
      </c>
      <c r="AE49" s="9">
        <f t="shared" si="25"/>
        <v>0</v>
      </c>
      <c r="AF49" s="9">
        <f t="shared" si="25"/>
        <v>0</v>
      </c>
      <c r="AG49" s="9">
        <f t="shared" si="25"/>
        <v>0</v>
      </c>
      <c r="AH49" s="9">
        <f t="shared" si="25"/>
        <v>0</v>
      </c>
      <c r="AI49" s="9">
        <f t="shared" si="25"/>
        <v>0</v>
      </c>
      <c r="AJ49" s="9">
        <f t="shared" si="25"/>
        <v>0</v>
      </c>
      <c r="AK49" s="9">
        <f t="shared" si="24"/>
        <v>0</v>
      </c>
      <c r="AL49" s="9">
        <f t="shared" si="20"/>
        <v>147585.95000000001</v>
      </c>
      <c r="AM49" s="365">
        <f t="shared" si="3"/>
        <v>147585.95000000001</v>
      </c>
      <c r="AN49" s="412">
        <f t="shared" si="7"/>
        <v>147585.95000000001</v>
      </c>
      <c r="AO49" s="412">
        <f t="shared" si="8"/>
        <v>0</v>
      </c>
    </row>
    <row r="50" spans="1:41" ht="14">
      <c r="A50" s="402" t="s">
        <v>664</v>
      </c>
      <c r="B50" s="403">
        <v>7009500</v>
      </c>
      <c r="C50" s="403">
        <v>96</v>
      </c>
      <c r="D50" s="402" t="s">
        <v>515</v>
      </c>
      <c r="E50" s="402" t="s">
        <v>515</v>
      </c>
      <c r="F50" s="558">
        <v>19667.7</v>
      </c>
      <c r="G50" s="561">
        <v>18775.759999999998</v>
      </c>
      <c r="H50" s="563">
        <v>21412.3</v>
      </c>
      <c r="I50" s="567">
        <v>27220.81</v>
      </c>
      <c r="J50" s="568">
        <v>15227.47</v>
      </c>
      <c r="K50" s="572">
        <v>13070</v>
      </c>
      <c r="L50" s="576">
        <v>15561.29</v>
      </c>
      <c r="M50" s="583">
        <v>17152.84</v>
      </c>
      <c r="N50" s="585">
        <v>25076.32</v>
      </c>
      <c r="O50" s="482"/>
      <c r="P50" s="482"/>
      <c r="Q50" s="482"/>
      <c r="R50" s="586">
        <f t="shared" si="4"/>
        <v>173164.49</v>
      </c>
      <c r="S50" s="412">
        <f t="shared" si="5"/>
        <v>115374.04</v>
      </c>
      <c r="T50" s="412">
        <f>+'2023'!R46</f>
        <v>132155.51</v>
      </c>
      <c r="U50" s="579">
        <f t="shared" si="6"/>
        <v>173164.49</v>
      </c>
      <c r="W50" s="9">
        <f t="shared" ref="W50:AJ59" si="26">+IF($A50=W$3,$U50,0)</f>
        <v>0</v>
      </c>
      <c r="X50" s="9">
        <f t="shared" si="26"/>
        <v>0</v>
      </c>
      <c r="Y50" s="9">
        <f t="shared" si="26"/>
        <v>0</v>
      </c>
      <c r="Z50" s="9">
        <f t="shared" si="26"/>
        <v>0</v>
      </c>
      <c r="AA50" s="9">
        <f t="shared" si="26"/>
        <v>0</v>
      </c>
      <c r="AB50" s="9">
        <f t="shared" si="26"/>
        <v>0</v>
      </c>
      <c r="AC50" s="9">
        <f t="shared" si="26"/>
        <v>0</v>
      </c>
      <c r="AD50" s="9">
        <f t="shared" si="26"/>
        <v>0</v>
      </c>
      <c r="AE50" s="9">
        <f t="shared" si="26"/>
        <v>0</v>
      </c>
      <c r="AF50" s="9">
        <f t="shared" si="26"/>
        <v>0</v>
      </c>
      <c r="AG50" s="9">
        <f t="shared" si="26"/>
        <v>0</v>
      </c>
      <c r="AH50" s="9">
        <f t="shared" si="26"/>
        <v>0</v>
      </c>
      <c r="AI50" s="9">
        <f t="shared" si="26"/>
        <v>173164.49</v>
      </c>
      <c r="AJ50" s="9">
        <f t="shared" si="26"/>
        <v>0</v>
      </c>
      <c r="AK50" s="9">
        <f t="shared" si="24"/>
        <v>0</v>
      </c>
      <c r="AL50" s="9">
        <f t="shared" si="20"/>
        <v>0</v>
      </c>
      <c r="AM50" s="365">
        <f t="shared" si="3"/>
        <v>173164.49</v>
      </c>
      <c r="AN50" s="412">
        <f t="shared" si="7"/>
        <v>173164.49</v>
      </c>
      <c r="AO50" s="412">
        <f t="shared" si="8"/>
        <v>0</v>
      </c>
    </row>
    <row r="51" spans="1:41" ht="14">
      <c r="A51" s="402" t="s">
        <v>659</v>
      </c>
      <c r="B51" s="404">
        <v>15037963</v>
      </c>
      <c r="C51" s="404">
        <v>78</v>
      </c>
      <c r="D51" s="405" t="s">
        <v>606</v>
      </c>
      <c r="E51" s="405" t="s">
        <v>605</v>
      </c>
      <c r="F51" s="558">
        <v>17960.64</v>
      </c>
      <c r="G51" s="561">
        <v>14832.24</v>
      </c>
      <c r="H51" s="563">
        <v>16387.39</v>
      </c>
      <c r="I51" s="567">
        <v>23292.89</v>
      </c>
      <c r="J51" s="568">
        <v>15236.37</v>
      </c>
      <c r="K51" s="572">
        <v>10315.91</v>
      </c>
      <c r="L51" s="576">
        <v>10270.41</v>
      </c>
      <c r="M51" s="583">
        <v>10541.62</v>
      </c>
      <c r="N51" s="585">
        <v>16494.53</v>
      </c>
      <c r="O51" s="482"/>
      <c r="P51" s="482"/>
      <c r="Q51" s="482"/>
      <c r="R51" s="586">
        <f t="shared" si="4"/>
        <v>135332</v>
      </c>
      <c r="S51" s="412">
        <f t="shared" si="5"/>
        <v>98025.44</v>
      </c>
      <c r="T51" s="412">
        <f>+'2023'!R47</f>
        <v>93050.05</v>
      </c>
      <c r="U51" s="579">
        <f t="shared" si="6"/>
        <v>135332</v>
      </c>
      <c r="W51" s="9">
        <f t="shared" si="26"/>
        <v>0</v>
      </c>
      <c r="X51" s="9">
        <f t="shared" si="26"/>
        <v>0</v>
      </c>
      <c r="Y51" s="9">
        <f t="shared" si="26"/>
        <v>0</v>
      </c>
      <c r="Z51" s="9">
        <f t="shared" si="26"/>
        <v>0</v>
      </c>
      <c r="AA51" s="9">
        <f t="shared" si="26"/>
        <v>0</v>
      </c>
      <c r="AB51" s="9">
        <f t="shared" si="26"/>
        <v>0</v>
      </c>
      <c r="AC51" s="9">
        <f t="shared" si="26"/>
        <v>0</v>
      </c>
      <c r="AD51" s="9">
        <f t="shared" si="26"/>
        <v>0</v>
      </c>
      <c r="AE51" s="9">
        <f t="shared" si="26"/>
        <v>0</v>
      </c>
      <c r="AF51" s="9">
        <f t="shared" si="26"/>
        <v>0</v>
      </c>
      <c r="AG51" s="9">
        <f t="shared" si="26"/>
        <v>0</v>
      </c>
      <c r="AH51" s="9">
        <f t="shared" si="26"/>
        <v>135332</v>
      </c>
      <c r="AI51" s="9">
        <f t="shared" si="26"/>
        <v>0</v>
      </c>
      <c r="AJ51" s="9">
        <f t="shared" si="26"/>
        <v>0</v>
      </c>
      <c r="AK51" s="9">
        <f t="shared" si="24"/>
        <v>0</v>
      </c>
      <c r="AL51" s="9">
        <f t="shared" si="20"/>
        <v>0</v>
      </c>
      <c r="AM51" s="365">
        <f t="shared" si="3"/>
        <v>135332</v>
      </c>
      <c r="AN51" s="412">
        <f t="shared" si="7"/>
        <v>135332</v>
      </c>
      <c r="AO51" s="412">
        <f t="shared" si="8"/>
        <v>0</v>
      </c>
    </row>
    <row r="52" spans="1:41" ht="14">
      <c r="A52" s="402" t="s">
        <v>530</v>
      </c>
      <c r="B52" s="404">
        <v>15061297</v>
      </c>
      <c r="C52" s="404">
        <v>123</v>
      </c>
      <c r="D52" s="405"/>
      <c r="E52" s="405" t="s">
        <v>854</v>
      </c>
      <c r="F52" s="558">
        <v>18158.810000000001</v>
      </c>
      <c r="G52" s="561">
        <v>14484.29</v>
      </c>
      <c r="H52" s="563">
        <v>18196.21</v>
      </c>
      <c r="I52" s="567">
        <v>26765.5</v>
      </c>
      <c r="J52" s="568">
        <v>13656.56</v>
      </c>
      <c r="K52" s="572">
        <v>9889.5400000000009</v>
      </c>
      <c r="L52" s="576">
        <v>8903.51</v>
      </c>
      <c r="M52" s="585">
        <v>20459.12</v>
      </c>
      <c r="N52" s="482"/>
      <c r="O52" s="482"/>
      <c r="P52" s="482"/>
      <c r="Q52" s="482"/>
      <c r="R52" s="586">
        <f t="shared" si="4"/>
        <v>130513.54</v>
      </c>
      <c r="S52" s="412">
        <f t="shared" si="5"/>
        <v>101150.91</v>
      </c>
      <c r="T52" s="412">
        <f>+'2023'!R48</f>
        <v>113101.54999999999</v>
      </c>
      <c r="U52" s="579">
        <f t="shared" si="6"/>
        <v>130513.54</v>
      </c>
      <c r="W52" s="9">
        <f t="shared" si="26"/>
        <v>0</v>
      </c>
      <c r="X52" s="9">
        <f t="shared" si="26"/>
        <v>0</v>
      </c>
      <c r="Y52" s="9">
        <f t="shared" si="26"/>
        <v>0</v>
      </c>
      <c r="Z52" s="9">
        <f t="shared" si="26"/>
        <v>0</v>
      </c>
      <c r="AA52" s="9">
        <f t="shared" si="26"/>
        <v>0</v>
      </c>
      <c r="AB52" s="9">
        <f t="shared" si="26"/>
        <v>130513.54</v>
      </c>
      <c r="AC52" s="9">
        <f t="shared" si="26"/>
        <v>0</v>
      </c>
      <c r="AD52" s="9">
        <f t="shared" si="26"/>
        <v>0</v>
      </c>
      <c r="AE52" s="9">
        <f t="shared" si="26"/>
        <v>0</v>
      </c>
      <c r="AF52" s="9">
        <f t="shared" si="26"/>
        <v>0</v>
      </c>
      <c r="AG52" s="9">
        <f t="shared" si="26"/>
        <v>0</v>
      </c>
      <c r="AH52" s="9">
        <f t="shared" si="26"/>
        <v>0</v>
      </c>
      <c r="AI52" s="9">
        <f t="shared" si="26"/>
        <v>0</v>
      </c>
      <c r="AJ52" s="9">
        <f t="shared" si="26"/>
        <v>0</v>
      </c>
      <c r="AK52" s="9">
        <f t="shared" ref="AK52:AK87" si="27">+IF($A52=AK$3,$U52,0)</f>
        <v>0</v>
      </c>
      <c r="AL52" s="9">
        <f t="shared" si="20"/>
        <v>0</v>
      </c>
      <c r="AM52" s="365">
        <f t="shared" si="3"/>
        <v>130513.54</v>
      </c>
      <c r="AN52" s="412">
        <f t="shared" si="7"/>
        <v>130513.54</v>
      </c>
      <c r="AO52" s="412">
        <f t="shared" si="8"/>
        <v>0</v>
      </c>
    </row>
    <row r="53" spans="1:41" ht="14">
      <c r="A53" s="402" t="s">
        <v>658</v>
      </c>
      <c r="B53" s="403">
        <v>15074330</v>
      </c>
      <c r="C53" s="403">
        <v>102</v>
      </c>
      <c r="D53" s="402" t="s">
        <v>715</v>
      </c>
      <c r="E53" s="402" t="s">
        <v>601</v>
      </c>
      <c r="F53" s="558">
        <v>20374.13</v>
      </c>
      <c r="G53" s="561">
        <v>18218.560000000001</v>
      </c>
      <c r="H53" s="563">
        <v>20813.650000000001</v>
      </c>
      <c r="I53" s="567">
        <v>21907.27</v>
      </c>
      <c r="J53" s="572">
        <v>21036.5</v>
      </c>
      <c r="K53" s="572">
        <v>15482.96</v>
      </c>
      <c r="L53" s="576">
        <v>12577.09</v>
      </c>
      <c r="M53" s="583">
        <v>15004.84</v>
      </c>
      <c r="N53" s="585">
        <v>16963.32</v>
      </c>
      <c r="O53" s="482"/>
      <c r="P53" s="482"/>
      <c r="Q53" s="482"/>
      <c r="R53" s="586">
        <f t="shared" si="4"/>
        <v>162378.32</v>
      </c>
      <c r="S53" s="412">
        <f t="shared" si="5"/>
        <v>117833.07</v>
      </c>
      <c r="T53" s="412">
        <f>+'2023'!R49</f>
        <v>125622.91</v>
      </c>
      <c r="U53" s="579">
        <f t="shared" si="6"/>
        <v>162378.32</v>
      </c>
      <c r="W53" s="9">
        <f t="shared" si="26"/>
        <v>0</v>
      </c>
      <c r="X53" s="9">
        <f t="shared" si="26"/>
        <v>0</v>
      </c>
      <c r="Y53" s="9">
        <f t="shared" si="26"/>
        <v>0</v>
      </c>
      <c r="Z53" s="9">
        <f t="shared" si="26"/>
        <v>0</v>
      </c>
      <c r="AA53" s="9">
        <f t="shared" si="26"/>
        <v>0</v>
      </c>
      <c r="AB53" s="9">
        <f t="shared" si="26"/>
        <v>0</v>
      </c>
      <c r="AC53" s="9">
        <f t="shared" si="26"/>
        <v>0</v>
      </c>
      <c r="AD53" s="9">
        <f t="shared" si="26"/>
        <v>0</v>
      </c>
      <c r="AE53" s="9">
        <f t="shared" si="26"/>
        <v>162378.32</v>
      </c>
      <c r="AF53" s="9">
        <f t="shared" si="26"/>
        <v>0</v>
      </c>
      <c r="AG53" s="9">
        <f t="shared" si="26"/>
        <v>0</v>
      </c>
      <c r="AH53" s="9">
        <f t="shared" si="26"/>
        <v>0</v>
      </c>
      <c r="AI53" s="9">
        <f t="shared" si="26"/>
        <v>0</v>
      </c>
      <c r="AJ53" s="9">
        <f t="shared" si="26"/>
        <v>0</v>
      </c>
      <c r="AK53" s="9">
        <f t="shared" si="27"/>
        <v>0</v>
      </c>
      <c r="AL53" s="9">
        <f t="shared" si="20"/>
        <v>0</v>
      </c>
      <c r="AM53" s="365">
        <f t="shared" si="3"/>
        <v>162378.32</v>
      </c>
      <c r="AN53" s="412">
        <f t="shared" si="7"/>
        <v>162378.32</v>
      </c>
      <c r="AO53" s="412">
        <f t="shared" si="8"/>
        <v>0</v>
      </c>
    </row>
    <row r="54" spans="1:41" ht="14">
      <c r="A54" s="402" t="s">
        <v>530</v>
      </c>
      <c r="B54" s="403">
        <v>15071136</v>
      </c>
      <c r="C54" s="403">
        <v>106</v>
      </c>
      <c r="D54" s="402"/>
      <c r="E54" s="402" t="s">
        <v>968</v>
      </c>
      <c r="F54" s="558">
        <v>30103.14</v>
      </c>
      <c r="G54" s="561">
        <v>26589.38</v>
      </c>
      <c r="H54" s="563">
        <v>29245.15</v>
      </c>
      <c r="I54" s="567">
        <v>36241.03</v>
      </c>
      <c r="J54" s="572">
        <v>24102.52</v>
      </c>
      <c r="K54" s="572">
        <v>18584.5</v>
      </c>
      <c r="L54" s="576">
        <v>17660.38</v>
      </c>
      <c r="M54" s="583">
        <v>20459.099999999999</v>
      </c>
      <c r="N54" s="482"/>
      <c r="O54" s="482"/>
      <c r="P54" s="482"/>
      <c r="Q54" s="482"/>
      <c r="R54" s="586">
        <f t="shared" si="4"/>
        <v>202985.2</v>
      </c>
      <c r="S54" s="412">
        <f t="shared" si="5"/>
        <v>164865.72</v>
      </c>
      <c r="T54" s="412">
        <f>+'2023'!R50</f>
        <v>140365.66</v>
      </c>
      <c r="U54" s="579">
        <f t="shared" si="6"/>
        <v>202985.2</v>
      </c>
      <c r="W54" s="9">
        <f t="shared" si="26"/>
        <v>0</v>
      </c>
      <c r="X54" s="9">
        <f t="shared" si="26"/>
        <v>0</v>
      </c>
      <c r="Y54" s="9">
        <f t="shared" si="26"/>
        <v>0</v>
      </c>
      <c r="Z54" s="9">
        <f t="shared" si="26"/>
        <v>0</v>
      </c>
      <c r="AA54" s="9">
        <f t="shared" si="26"/>
        <v>0</v>
      </c>
      <c r="AB54" s="9">
        <f t="shared" si="26"/>
        <v>202985.2</v>
      </c>
      <c r="AC54" s="9">
        <f t="shared" si="26"/>
        <v>0</v>
      </c>
      <c r="AD54" s="9">
        <f t="shared" si="26"/>
        <v>0</v>
      </c>
      <c r="AE54" s="9">
        <f t="shared" si="26"/>
        <v>0</v>
      </c>
      <c r="AF54" s="9">
        <f t="shared" si="26"/>
        <v>0</v>
      </c>
      <c r="AG54" s="9">
        <f t="shared" si="26"/>
        <v>0</v>
      </c>
      <c r="AH54" s="9">
        <f t="shared" si="26"/>
        <v>0</v>
      </c>
      <c r="AI54" s="9">
        <f t="shared" si="26"/>
        <v>0</v>
      </c>
      <c r="AJ54" s="9">
        <f t="shared" si="26"/>
        <v>0</v>
      </c>
      <c r="AK54" s="9">
        <f t="shared" si="27"/>
        <v>0</v>
      </c>
      <c r="AL54" s="9">
        <f t="shared" si="20"/>
        <v>0</v>
      </c>
      <c r="AM54" s="365">
        <f t="shared" si="3"/>
        <v>202985.2</v>
      </c>
      <c r="AN54" s="412">
        <f t="shared" si="7"/>
        <v>202985.2</v>
      </c>
      <c r="AO54" s="412">
        <f t="shared" si="8"/>
        <v>0</v>
      </c>
    </row>
    <row r="55" spans="1:41" ht="14">
      <c r="A55" s="402" t="s">
        <v>537</v>
      </c>
      <c r="B55" s="403">
        <v>15073026</v>
      </c>
      <c r="C55" s="403"/>
      <c r="D55" s="402"/>
      <c r="E55" s="402" t="s">
        <v>1037</v>
      </c>
      <c r="F55" s="490"/>
      <c r="G55" s="561">
        <v>7298.03</v>
      </c>
      <c r="H55" s="563">
        <v>18319.27</v>
      </c>
      <c r="I55" s="567">
        <v>22187.59</v>
      </c>
      <c r="J55" s="572">
        <v>13735.28</v>
      </c>
      <c r="K55" s="572">
        <v>8101.36</v>
      </c>
      <c r="L55" s="576">
        <v>8355.7199999999993</v>
      </c>
      <c r="M55" s="583">
        <v>12142.18</v>
      </c>
      <c r="N55" s="585">
        <v>15710.07</v>
      </c>
      <c r="O55" s="482"/>
      <c r="P55" s="482"/>
      <c r="Q55" s="482"/>
      <c r="R55" s="586">
        <f t="shared" si="4"/>
        <v>105849.5</v>
      </c>
      <c r="S55" s="412">
        <f t="shared" si="5"/>
        <v>69641.53</v>
      </c>
      <c r="T55" s="412">
        <v>0</v>
      </c>
      <c r="U55" s="579">
        <f t="shared" si="6"/>
        <v>105849.5</v>
      </c>
      <c r="W55" s="9">
        <f t="shared" si="26"/>
        <v>0</v>
      </c>
      <c r="X55" s="9">
        <f t="shared" si="26"/>
        <v>105849.5</v>
      </c>
      <c r="Y55" s="9">
        <f t="shared" si="26"/>
        <v>0</v>
      </c>
      <c r="Z55" s="9">
        <f t="shared" si="26"/>
        <v>0</v>
      </c>
      <c r="AA55" s="9">
        <f t="shared" si="26"/>
        <v>0</v>
      </c>
      <c r="AB55" s="9">
        <f t="shared" si="26"/>
        <v>0</v>
      </c>
      <c r="AC55" s="9">
        <f t="shared" si="26"/>
        <v>0</v>
      </c>
      <c r="AD55" s="9">
        <f t="shared" si="26"/>
        <v>0</v>
      </c>
      <c r="AE55" s="9">
        <f t="shared" si="26"/>
        <v>0</v>
      </c>
      <c r="AF55" s="9">
        <f t="shared" si="26"/>
        <v>0</v>
      </c>
      <c r="AG55" s="9">
        <f t="shared" si="26"/>
        <v>0</v>
      </c>
      <c r="AH55" s="9">
        <f t="shared" si="26"/>
        <v>0</v>
      </c>
      <c r="AI55" s="9">
        <f t="shared" si="26"/>
        <v>0</v>
      </c>
      <c r="AJ55" s="9">
        <f t="shared" si="26"/>
        <v>0</v>
      </c>
      <c r="AK55" s="9">
        <f t="shared" si="27"/>
        <v>0</v>
      </c>
      <c r="AL55" s="9">
        <f t="shared" si="20"/>
        <v>0</v>
      </c>
      <c r="AM55" s="365">
        <f t="shared" si="3"/>
        <v>105849.5</v>
      </c>
      <c r="AN55" s="412">
        <f t="shared" si="7"/>
        <v>105849.5</v>
      </c>
      <c r="AO55" s="412">
        <f t="shared" si="8"/>
        <v>0</v>
      </c>
    </row>
    <row r="56" spans="1:41" ht="14">
      <c r="A56" s="402" t="s">
        <v>1000</v>
      </c>
      <c r="B56" s="403">
        <v>15055279</v>
      </c>
      <c r="C56" s="403"/>
      <c r="D56" s="402"/>
      <c r="E56" s="402" t="s">
        <v>708</v>
      </c>
      <c r="F56" s="490"/>
      <c r="G56" s="490"/>
      <c r="H56" s="490"/>
      <c r="I56" s="490"/>
      <c r="J56" s="572">
        <v>1117.75</v>
      </c>
      <c r="K56" s="482"/>
      <c r="L56" s="482"/>
      <c r="M56" s="482"/>
      <c r="N56" s="482"/>
      <c r="O56" s="482"/>
      <c r="P56" s="482"/>
      <c r="Q56" s="482"/>
      <c r="R56" s="586">
        <f t="shared" si="4"/>
        <v>1117.75</v>
      </c>
      <c r="S56" s="412">
        <f t="shared" si="5"/>
        <v>1117.75</v>
      </c>
      <c r="T56" s="412">
        <f>+'2023'!R51</f>
        <v>0</v>
      </c>
      <c r="U56" s="579">
        <f t="shared" si="6"/>
        <v>1117.75</v>
      </c>
      <c r="W56" s="9">
        <f t="shared" si="26"/>
        <v>0</v>
      </c>
      <c r="X56" s="9">
        <f t="shared" si="26"/>
        <v>0</v>
      </c>
      <c r="Y56" s="9">
        <f t="shared" si="26"/>
        <v>0</v>
      </c>
      <c r="Z56" s="9">
        <f t="shared" si="26"/>
        <v>0</v>
      </c>
      <c r="AA56" s="9">
        <f t="shared" si="26"/>
        <v>0</v>
      </c>
      <c r="AB56" s="9">
        <f t="shared" si="26"/>
        <v>0</v>
      </c>
      <c r="AC56" s="9">
        <f t="shared" si="26"/>
        <v>0</v>
      </c>
      <c r="AD56" s="9">
        <f t="shared" si="26"/>
        <v>0</v>
      </c>
      <c r="AE56" s="9">
        <f t="shared" si="26"/>
        <v>0</v>
      </c>
      <c r="AF56" s="9">
        <f t="shared" si="26"/>
        <v>0</v>
      </c>
      <c r="AG56" s="9">
        <f t="shared" si="26"/>
        <v>0</v>
      </c>
      <c r="AH56" s="9">
        <f t="shared" si="26"/>
        <v>0</v>
      </c>
      <c r="AI56" s="9">
        <f t="shared" si="26"/>
        <v>0</v>
      </c>
      <c r="AJ56" s="9">
        <f t="shared" si="26"/>
        <v>1117.75</v>
      </c>
      <c r="AK56" s="9">
        <f t="shared" si="27"/>
        <v>0</v>
      </c>
      <c r="AL56" s="9">
        <f t="shared" si="20"/>
        <v>0</v>
      </c>
      <c r="AM56" s="365">
        <f t="shared" si="3"/>
        <v>1117.75</v>
      </c>
      <c r="AN56" s="412">
        <f t="shared" si="7"/>
        <v>1117.75</v>
      </c>
      <c r="AO56" s="412">
        <f t="shared" si="8"/>
        <v>0</v>
      </c>
    </row>
    <row r="57" spans="1:41" ht="14">
      <c r="A57" s="402" t="s">
        <v>1000</v>
      </c>
      <c r="B57" s="403">
        <v>15074617</v>
      </c>
      <c r="C57" s="403"/>
      <c r="D57" s="402"/>
      <c r="E57" s="402" t="s">
        <v>977</v>
      </c>
      <c r="F57" s="558">
        <v>34304.269999999997</v>
      </c>
      <c r="G57" s="561">
        <v>25399.200000000001</v>
      </c>
      <c r="H57" s="563">
        <v>28386.720000000001</v>
      </c>
      <c r="I57" s="567">
        <v>48955.3</v>
      </c>
      <c r="J57" s="568">
        <v>22734.44</v>
      </c>
      <c r="K57" s="572">
        <v>11282.42</v>
      </c>
      <c r="L57" s="576">
        <v>3560.22</v>
      </c>
      <c r="M57" s="583">
        <v>5970.44</v>
      </c>
      <c r="N57" s="585">
        <v>14257.71</v>
      </c>
      <c r="O57" s="482"/>
      <c r="P57" s="482"/>
      <c r="Q57" s="482"/>
      <c r="R57" s="586">
        <f t="shared" si="4"/>
        <v>194850.72</v>
      </c>
      <c r="S57" s="412">
        <f t="shared" si="5"/>
        <v>171062.35</v>
      </c>
      <c r="T57" s="412">
        <f>+'2023'!R52</f>
        <v>158185.48000000001</v>
      </c>
      <c r="U57" s="579">
        <f t="shared" si="6"/>
        <v>194850.72</v>
      </c>
      <c r="W57" s="9">
        <f t="shared" si="26"/>
        <v>0</v>
      </c>
      <c r="X57" s="9">
        <f t="shared" si="26"/>
        <v>0</v>
      </c>
      <c r="Y57" s="9">
        <f t="shared" si="26"/>
        <v>0</v>
      </c>
      <c r="Z57" s="9">
        <f t="shared" si="26"/>
        <v>0</v>
      </c>
      <c r="AA57" s="9">
        <f t="shared" si="26"/>
        <v>0</v>
      </c>
      <c r="AB57" s="9">
        <f t="shared" si="26"/>
        <v>0</v>
      </c>
      <c r="AC57" s="9">
        <f t="shared" si="26"/>
        <v>0</v>
      </c>
      <c r="AD57" s="9">
        <f t="shared" si="26"/>
        <v>0</v>
      </c>
      <c r="AE57" s="9">
        <f t="shared" si="26"/>
        <v>0</v>
      </c>
      <c r="AF57" s="9">
        <f t="shared" si="26"/>
        <v>0</v>
      </c>
      <c r="AG57" s="9">
        <f t="shared" si="26"/>
        <v>0</v>
      </c>
      <c r="AH57" s="9">
        <f t="shared" si="26"/>
        <v>0</v>
      </c>
      <c r="AI57" s="9">
        <f t="shared" si="26"/>
        <v>0</v>
      </c>
      <c r="AJ57" s="9">
        <f t="shared" si="26"/>
        <v>194850.72</v>
      </c>
      <c r="AK57" s="9">
        <f t="shared" si="27"/>
        <v>0</v>
      </c>
      <c r="AL57" s="9">
        <f t="shared" si="20"/>
        <v>0</v>
      </c>
      <c r="AM57" s="365">
        <f t="shared" si="3"/>
        <v>194850.72</v>
      </c>
      <c r="AN57" s="412">
        <f t="shared" si="7"/>
        <v>194850.72</v>
      </c>
      <c r="AO57" s="412">
        <f t="shared" si="8"/>
        <v>0</v>
      </c>
    </row>
    <row r="58" spans="1:41" ht="14">
      <c r="A58" s="402" t="s">
        <v>658</v>
      </c>
      <c r="B58" s="403">
        <v>15078234</v>
      </c>
      <c r="C58" s="403">
        <v>91</v>
      </c>
      <c r="D58" s="402" t="s">
        <v>516</v>
      </c>
      <c r="E58" s="402" t="s">
        <v>516</v>
      </c>
      <c r="F58" s="482"/>
      <c r="G58" s="561">
        <v>19640.419999999998</v>
      </c>
      <c r="H58" s="563">
        <v>22288.400000000001</v>
      </c>
      <c r="I58" s="567">
        <v>27683.97</v>
      </c>
      <c r="J58" s="568">
        <v>18820.490000000002</v>
      </c>
      <c r="K58" s="572">
        <v>11145.63</v>
      </c>
      <c r="L58" s="576">
        <v>11977.47</v>
      </c>
      <c r="M58" s="583">
        <v>15174.8</v>
      </c>
      <c r="N58" s="585">
        <v>18791.939999999999</v>
      </c>
      <c r="O58" s="482"/>
      <c r="P58" s="482"/>
      <c r="Q58" s="482"/>
      <c r="R58" s="586">
        <f t="shared" si="4"/>
        <v>145523.12000000002</v>
      </c>
      <c r="S58" s="412">
        <f t="shared" si="5"/>
        <v>99578.910000000018</v>
      </c>
      <c r="T58" s="412">
        <f>+'2023'!R53</f>
        <v>133843.74</v>
      </c>
      <c r="U58" s="579">
        <f t="shared" si="6"/>
        <v>145523.12000000002</v>
      </c>
      <c r="W58" s="9">
        <f t="shared" si="26"/>
        <v>0</v>
      </c>
      <c r="X58" s="9">
        <f t="shared" si="26"/>
        <v>0</v>
      </c>
      <c r="Y58" s="9">
        <f t="shared" si="26"/>
        <v>0</v>
      </c>
      <c r="Z58" s="9">
        <f t="shared" si="26"/>
        <v>0</v>
      </c>
      <c r="AA58" s="9">
        <f t="shared" si="26"/>
        <v>0</v>
      </c>
      <c r="AB58" s="9">
        <f t="shared" si="26"/>
        <v>0</v>
      </c>
      <c r="AC58" s="9">
        <f t="shared" si="26"/>
        <v>0</v>
      </c>
      <c r="AD58" s="9">
        <f t="shared" si="26"/>
        <v>0</v>
      </c>
      <c r="AE58" s="9">
        <f t="shared" si="26"/>
        <v>145523.12000000002</v>
      </c>
      <c r="AF58" s="9">
        <f t="shared" si="26"/>
        <v>0</v>
      </c>
      <c r="AG58" s="9">
        <f t="shared" si="26"/>
        <v>0</v>
      </c>
      <c r="AH58" s="9">
        <f t="shared" si="26"/>
        <v>0</v>
      </c>
      <c r="AI58" s="9">
        <f t="shared" si="26"/>
        <v>0</v>
      </c>
      <c r="AJ58" s="9">
        <f t="shared" si="26"/>
        <v>0</v>
      </c>
      <c r="AK58" s="9">
        <f t="shared" si="27"/>
        <v>0</v>
      </c>
      <c r="AL58" s="9">
        <f t="shared" si="20"/>
        <v>0</v>
      </c>
      <c r="AM58" s="365">
        <f t="shared" si="3"/>
        <v>145523.12000000002</v>
      </c>
      <c r="AN58" s="412">
        <f t="shared" si="7"/>
        <v>145523.12000000002</v>
      </c>
      <c r="AO58" s="412">
        <f t="shared" si="8"/>
        <v>0</v>
      </c>
    </row>
    <row r="59" spans="1:41" ht="14">
      <c r="A59" s="402" t="s">
        <v>530</v>
      </c>
      <c r="B59" s="403">
        <v>15037322</v>
      </c>
      <c r="C59" s="403">
        <v>91</v>
      </c>
      <c r="D59" s="402" t="s">
        <v>646</v>
      </c>
      <c r="E59" s="402" t="s">
        <v>623</v>
      </c>
      <c r="F59" s="558">
        <v>22524.82</v>
      </c>
      <c r="G59" s="561">
        <v>19156.64</v>
      </c>
      <c r="H59" s="563">
        <v>21173.42</v>
      </c>
      <c r="I59" s="567">
        <v>28948.66</v>
      </c>
      <c r="J59" s="572">
        <v>22090.85</v>
      </c>
      <c r="K59" s="572">
        <v>16314</v>
      </c>
      <c r="L59" s="576">
        <v>14791.05</v>
      </c>
      <c r="M59" s="583">
        <v>17872.78</v>
      </c>
      <c r="N59" s="585">
        <v>20587.560000000001</v>
      </c>
      <c r="O59" s="482"/>
      <c r="P59" s="482"/>
      <c r="Q59" s="482"/>
      <c r="R59" s="586">
        <f t="shared" si="4"/>
        <v>183459.77999999997</v>
      </c>
      <c r="S59" s="412">
        <f t="shared" si="5"/>
        <v>130208.38999999998</v>
      </c>
      <c r="T59" s="412">
        <f>+'2023'!R54</f>
        <v>98802.090000000011</v>
      </c>
      <c r="U59" s="579">
        <f t="shared" si="6"/>
        <v>183459.77999999997</v>
      </c>
      <c r="W59" s="9">
        <f t="shared" si="26"/>
        <v>0</v>
      </c>
      <c r="X59" s="9">
        <f t="shared" si="26"/>
        <v>0</v>
      </c>
      <c r="Y59" s="9">
        <f t="shared" si="26"/>
        <v>0</v>
      </c>
      <c r="Z59" s="9">
        <f t="shared" si="26"/>
        <v>0</v>
      </c>
      <c r="AA59" s="9">
        <f t="shared" si="26"/>
        <v>0</v>
      </c>
      <c r="AB59" s="9">
        <f t="shared" si="26"/>
        <v>183459.77999999997</v>
      </c>
      <c r="AC59" s="9">
        <f t="shared" si="26"/>
        <v>0</v>
      </c>
      <c r="AD59" s="9">
        <f t="shared" si="26"/>
        <v>0</v>
      </c>
      <c r="AE59" s="9">
        <f t="shared" si="26"/>
        <v>0</v>
      </c>
      <c r="AF59" s="9">
        <f t="shared" si="26"/>
        <v>0</v>
      </c>
      <c r="AG59" s="9">
        <f t="shared" si="26"/>
        <v>0</v>
      </c>
      <c r="AH59" s="9">
        <f t="shared" si="26"/>
        <v>0</v>
      </c>
      <c r="AI59" s="9">
        <f t="shared" si="26"/>
        <v>0</v>
      </c>
      <c r="AJ59" s="9">
        <f t="shared" si="26"/>
        <v>0</v>
      </c>
      <c r="AK59" s="9">
        <f t="shared" si="27"/>
        <v>0</v>
      </c>
      <c r="AL59" s="9">
        <f t="shared" si="20"/>
        <v>0</v>
      </c>
      <c r="AM59" s="365">
        <f t="shared" si="3"/>
        <v>183459.77999999997</v>
      </c>
      <c r="AN59" s="412">
        <f t="shared" si="7"/>
        <v>183459.77999999997</v>
      </c>
      <c r="AO59" s="412">
        <f t="shared" si="8"/>
        <v>0</v>
      </c>
    </row>
    <row r="60" spans="1:41" ht="14">
      <c r="A60" s="402" t="s">
        <v>530</v>
      </c>
      <c r="B60" s="403">
        <v>15062439</v>
      </c>
      <c r="C60" s="403">
        <v>127</v>
      </c>
      <c r="D60" s="402" t="s">
        <v>604</v>
      </c>
      <c r="E60" s="402" t="s">
        <v>325</v>
      </c>
      <c r="F60" s="558">
        <v>25671.54</v>
      </c>
      <c r="G60" s="561">
        <v>19202.740000000002</v>
      </c>
      <c r="H60" s="563">
        <v>23533.47</v>
      </c>
      <c r="I60" s="567">
        <v>33244.15</v>
      </c>
      <c r="J60" s="572">
        <v>17589.87</v>
      </c>
      <c r="K60" s="572">
        <v>11652.67</v>
      </c>
      <c r="L60" s="576">
        <v>11506.04</v>
      </c>
      <c r="M60" s="583">
        <v>17087.45</v>
      </c>
      <c r="N60" s="585">
        <v>20176.77</v>
      </c>
      <c r="O60" s="482"/>
      <c r="P60" s="482"/>
      <c r="Q60" s="482"/>
      <c r="R60" s="586">
        <f t="shared" si="4"/>
        <v>179664.69999999998</v>
      </c>
      <c r="S60" s="412">
        <f t="shared" si="5"/>
        <v>130894.43999999999</v>
      </c>
      <c r="T60" s="412">
        <f>+'2023'!R55</f>
        <v>131254.54</v>
      </c>
      <c r="U60" s="579">
        <f t="shared" si="6"/>
        <v>179664.69999999998</v>
      </c>
      <c r="W60" s="9">
        <f t="shared" ref="W60:AJ69" si="28">+IF($A60=W$3,$U60,0)</f>
        <v>0</v>
      </c>
      <c r="X60" s="9">
        <f t="shared" si="28"/>
        <v>0</v>
      </c>
      <c r="Y60" s="9">
        <f t="shared" si="28"/>
        <v>0</v>
      </c>
      <c r="Z60" s="9">
        <f t="shared" si="28"/>
        <v>0</v>
      </c>
      <c r="AA60" s="9">
        <f t="shared" si="28"/>
        <v>0</v>
      </c>
      <c r="AB60" s="9">
        <f t="shared" si="28"/>
        <v>179664.69999999998</v>
      </c>
      <c r="AC60" s="9">
        <f t="shared" si="28"/>
        <v>0</v>
      </c>
      <c r="AD60" s="9">
        <f t="shared" si="28"/>
        <v>0</v>
      </c>
      <c r="AE60" s="9">
        <f t="shared" si="28"/>
        <v>0</v>
      </c>
      <c r="AF60" s="9">
        <f t="shared" si="28"/>
        <v>0</v>
      </c>
      <c r="AG60" s="9">
        <f t="shared" si="28"/>
        <v>0</v>
      </c>
      <c r="AH60" s="9">
        <f t="shared" si="28"/>
        <v>0</v>
      </c>
      <c r="AI60" s="9">
        <f t="shared" si="28"/>
        <v>0</v>
      </c>
      <c r="AJ60" s="9">
        <f t="shared" si="28"/>
        <v>0</v>
      </c>
      <c r="AK60" s="9">
        <f t="shared" si="27"/>
        <v>0</v>
      </c>
      <c r="AL60" s="9">
        <f t="shared" si="20"/>
        <v>0</v>
      </c>
      <c r="AM60" s="365">
        <f t="shared" si="3"/>
        <v>179664.69999999998</v>
      </c>
      <c r="AN60" s="412">
        <f t="shared" si="7"/>
        <v>179664.69999999998</v>
      </c>
      <c r="AO60" s="412">
        <f t="shared" si="8"/>
        <v>0</v>
      </c>
    </row>
    <row r="61" spans="1:41" ht="14">
      <c r="A61" s="402" t="s">
        <v>531</v>
      </c>
      <c r="B61" s="403">
        <v>15035829</v>
      </c>
      <c r="C61" s="403">
        <v>366</v>
      </c>
      <c r="D61" s="402" t="s">
        <v>567</v>
      </c>
      <c r="E61" s="402" t="s">
        <v>253</v>
      </c>
      <c r="F61" s="558">
        <v>77024.72</v>
      </c>
      <c r="G61" s="561">
        <v>90144.9</v>
      </c>
      <c r="H61" s="563">
        <v>99254.39</v>
      </c>
      <c r="I61" s="567">
        <v>127420.24</v>
      </c>
      <c r="J61" s="568">
        <v>89642.73</v>
      </c>
      <c r="K61" s="572">
        <v>65781.240000000005</v>
      </c>
      <c r="L61" s="576">
        <v>59523.53</v>
      </c>
      <c r="M61" s="583">
        <v>88523.35</v>
      </c>
      <c r="N61" s="585">
        <v>116272.12</v>
      </c>
      <c r="O61" s="482"/>
      <c r="P61" s="482"/>
      <c r="Q61" s="482"/>
      <c r="R61" s="586">
        <f t="shared" si="4"/>
        <v>813587.22</v>
      </c>
      <c r="S61" s="412">
        <f t="shared" si="5"/>
        <v>549268.22</v>
      </c>
      <c r="T61" s="412">
        <f>+'2023'!R56</f>
        <v>490853.13000000006</v>
      </c>
      <c r="U61" s="579">
        <f t="shared" si="6"/>
        <v>813587.22</v>
      </c>
      <c r="W61" s="9">
        <f t="shared" si="28"/>
        <v>0</v>
      </c>
      <c r="X61" s="9">
        <f t="shared" si="28"/>
        <v>0</v>
      </c>
      <c r="Y61" s="9">
        <f t="shared" si="28"/>
        <v>0</v>
      </c>
      <c r="Z61" s="9">
        <f t="shared" si="28"/>
        <v>813587.22</v>
      </c>
      <c r="AA61" s="9">
        <f t="shared" si="28"/>
        <v>0</v>
      </c>
      <c r="AB61" s="9">
        <f t="shared" si="28"/>
        <v>0</v>
      </c>
      <c r="AC61" s="9">
        <f t="shared" si="28"/>
        <v>0</v>
      </c>
      <c r="AD61" s="9">
        <f t="shared" si="28"/>
        <v>0</v>
      </c>
      <c r="AE61" s="9">
        <f t="shared" si="28"/>
        <v>0</v>
      </c>
      <c r="AF61" s="9">
        <f t="shared" si="28"/>
        <v>0</v>
      </c>
      <c r="AG61" s="9">
        <f t="shared" si="28"/>
        <v>0</v>
      </c>
      <c r="AH61" s="9">
        <f t="shared" si="28"/>
        <v>0</v>
      </c>
      <c r="AI61" s="9">
        <f t="shared" si="28"/>
        <v>0</v>
      </c>
      <c r="AJ61" s="9">
        <f t="shared" si="28"/>
        <v>0</v>
      </c>
      <c r="AK61" s="9">
        <f t="shared" si="27"/>
        <v>0</v>
      </c>
      <c r="AL61" s="9">
        <f t="shared" si="20"/>
        <v>0</v>
      </c>
      <c r="AM61" s="365">
        <f t="shared" si="3"/>
        <v>813587.22</v>
      </c>
      <c r="AN61" s="412">
        <f t="shared" si="7"/>
        <v>813587.22</v>
      </c>
      <c r="AO61" s="412">
        <f t="shared" si="8"/>
        <v>0</v>
      </c>
    </row>
    <row r="62" spans="1:41" ht="14">
      <c r="A62" s="402" t="s">
        <v>1000</v>
      </c>
      <c r="B62" s="403">
        <v>15033786</v>
      </c>
      <c r="C62" s="403"/>
      <c r="D62" s="402"/>
      <c r="E62" s="402" t="s">
        <v>914</v>
      </c>
      <c r="F62" s="558">
        <v>1634.21</v>
      </c>
      <c r="G62" s="561">
        <v>1237.5999999999999</v>
      </c>
      <c r="H62" s="563">
        <v>2376.1799999999998</v>
      </c>
      <c r="I62" s="568">
        <v>1825.38</v>
      </c>
      <c r="J62" s="568">
        <v>1577.6</v>
      </c>
      <c r="K62" s="572">
        <v>114.75</v>
      </c>
      <c r="L62" s="482"/>
      <c r="M62" s="482"/>
      <c r="N62" s="585">
        <v>1325.58</v>
      </c>
      <c r="O62" s="482"/>
      <c r="P62" s="482"/>
      <c r="Q62" s="482"/>
      <c r="R62" s="586">
        <f t="shared" si="4"/>
        <v>10091.299999999999</v>
      </c>
      <c r="S62" s="412">
        <f t="shared" si="5"/>
        <v>8765.7199999999993</v>
      </c>
      <c r="T62" s="412">
        <f>+'2023'!R57</f>
        <v>6517.09</v>
      </c>
      <c r="U62" s="579">
        <f t="shared" si="6"/>
        <v>10091.299999999999</v>
      </c>
      <c r="W62" s="9">
        <f t="shared" si="28"/>
        <v>0</v>
      </c>
      <c r="X62" s="9">
        <f t="shared" si="28"/>
        <v>0</v>
      </c>
      <c r="Y62" s="9">
        <f t="shared" si="28"/>
        <v>0</v>
      </c>
      <c r="Z62" s="9">
        <f t="shared" si="28"/>
        <v>0</v>
      </c>
      <c r="AA62" s="9">
        <f t="shared" si="28"/>
        <v>0</v>
      </c>
      <c r="AB62" s="9">
        <f t="shared" si="28"/>
        <v>0</v>
      </c>
      <c r="AC62" s="9">
        <f t="shared" si="28"/>
        <v>0</v>
      </c>
      <c r="AD62" s="9">
        <f t="shared" si="28"/>
        <v>0</v>
      </c>
      <c r="AE62" s="9">
        <f t="shared" si="28"/>
        <v>0</v>
      </c>
      <c r="AF62" s="9">
        <f t="shared" si="28"/>
        <v>0</v>
      </c>
      <c r="AG62" s="9">
        <f t="shared" si="28"/>
        <v>0</v>
      </c>
      <c r="AH62" s="9">
        <f t="shared" si="28"/>
        <v>0</v>
      </c>
      <c r="AI62" s="9">
        <f t="shared" si="28"/>
        <v>0</v>
      </c>
      <c r="AJ62" s="9">
        <f t="shared" si="28"/>
        <v>10091.299999999999</v>
      </c>
      <c r="AK62" s="9">
        <f t="shared" si="27"/>
        <v>0</v>
      </c>
      <c r="AL62" s="9">
        <f t="shared" si="20"/>
        <v>0</v>
      </c>
      <c r="AM62" s="365">
        <f t="shared" si="3"/>
        <v>10091.299999999999</v>
      </c>
      <c r="AN62" s="412">
        <f t="shared" si="7"/>
        <v>10091.299999999999</v>
      </c>
      <c r="AO62" s="412">
        <f t="shared" si="8"/>
        <v>0</v>
      </c>
    </row>
    <row r="63" spans="1:41" ht="14">
      <c r="A63" s="402" t="s">
        <v>705</v>
      </c>
      <c r="B63" s="403">
        <v>276620</v>
      </c>
      <c r="C63" s="403"/>
      <c r="D63" s="402"/>
      <c r="E63" s="402" t="s">
        <v>1017</v>
      </c>
      <c r="F63" s="558">
        <v>8216.8799999999992</v>
      </c>
      <c r="G63" s="563">
        <v>17400.419999999998</v>
      </c>
      <c r="H63" s="563">
        <v>7633.66</v>
      </c>
      <c r="I63" s="568">
        <v>17993.36</v>
      </c>
      <c r="J63" s="572">
        <v>9218.6200000000008</v>
      </c>
      <c r="K63" s="572">
        <v>5620.57</v>
      </c>
      <c r="L63" s="576">
        <v>9829.18</v>
      </c>
      <c r="M63" s="583">
        <v>15600.57</v>
      </c>
      <c r="N63" s="585">
        <v>19455.689999999999</v>
      </c>
      <c r="O63" s="482"/>
      <c r="P63" s="482"/>
      <c r="Q63" s="482"/>
      <c r="R63" s="586">
        <f t="shared" si="4"/>
        <v>110968.95000000001</v>
      </c>
      <c r="S63" s="412">
        <f t="shared" si="5"/>
        <v>66083.509999999995</v>
      </c>
      <c r="T63" s="412">
        <f>+'2023'!R58</f>
        <v>83302.66</v>
      </c>
      <c r="U63" s="579">
        <f t="shared" si="6"/>
        <v>110968.95000000001</v>
      </c>
      <c r="W63" s="9">
        <f t="shared" si="28"/>
        <v>0</v>
      </c>
      <c r="X63" s="9">
        <f t="shared" si="28"/>
        <v>0</v>
      </c>
      <c r="Y63" s="9">
        <f t="shared" si="28"/>
        <v>0</v>
      </c>
      <c r="Z63" s="9">
        <f t="shared" si="28"/>
        <v>0</v>
      </c>
      <c r="AA63" s="9">
        <f t="shared" si="28"/>
        <v>0</v>
      </c>
      <c r="AB63" s="9">
        <f t="shared" si="28"/>
        <v>0</v>
      </c>
      <c r="AC63" s="9">
        <f t="shared" si="28"/>
        <v>0</v>
      </c>
      <c r="AD63" s="9">
        <f t="shared" si="28"/>
        <v>0</v>
      </c>
      <c r="AE63" s="9">
        <f t="shared" si="28"/>
        <v>0</v>
      </c>
      <c r="AF63" s="9">
        <f t="shared" si="28"/>
        <v>0</v>
      </c>
      <c r="AG63" s="9">
        <f t="shared" si="28"/>
        <v>0</v>
      </c>
      <c r="AH63" s="9">
        <f t="shared" si="28"/>
        <v>0</v>
      </c>
      <c r="AI63" s="9">
        <f t="shared" si="28"/>
        <v>0</v>
      </c>
      <c r="AJ63" s="9">
        <f t="shared" si="28"/>
        <v>0</v>
      </c>
      <c r="AK63" s="9">
        <f t="shared" si="27"/>
        <v>0</v>
      </c>
      <c r="AL63" s="9">
        <f t="shared" si="20"/>
        <v>110968.95000000001</v>
      </c>
      <c r="AM63" s="365">
        <f t="shared" si="3"/>
        <v>110968.95000000001</v>
      </c>
      <c r="AN63" s="412">
        <f t="shared" si="7"/>
        <v>110968.95000000001</v>
      </c>
      <c r="AO63" s="412">
        <f t="shared" si="8"/>
        <v>0</v>
      </c>
    </row>
    <row r="64" spans="1:41" ht="14">
      <c r="A64" s="402" t="s">
        <v>535</v>
      </c>
      <c r="B64" s="403">
        <v>15069022</v>
      </c>
      <c r="C64" s="403">
        <v>129</v>
      </c>
      <c r="D64" s="402"/>
      <c r="E64" s="402" t="s">
        <v>942</v>
      </c>
      <c r="F64" s="558">
        <v>16698.740000000002</v>
      </c>
      <c r="G64" s="561">
        <v>15072.65</v>
      </c>
      <c r="H64" s="563">
        <v>17875.07</v>
      </c>
      <c r="I64" s="567">
        <v>21709.42</v>
      </c>
      <c r="J64" s="568">
        <v>10789.16</v>
      </c>
      <c r="K64" s="572">
        <v>6300.37</v>
      </c>
      <c r="L64" s="576">
        <v>5768.01</v>
      </c>
      <c r="M64" s="583">
        <v>5974.73</v>
      </c>
      <c r="N64" s="585">
        <v>11101.44</v>
      </c>
      <c r="O64" s="482"/>
      <c r="P64" s="482"/>
      <c r="Q64" s="482"/>
      <c r="R64" s="586">
        <f t="shared" si="4"/>
        <v>111289.59</v>
      </c>
      <c r="S64" s="412">
        <f t="shared" si="5"/>
        <v>88445.41</v>
      </c>
      <c r="T64" s="412">
        <f>+'2023'!R60</f>
        <v>65312.46</v>
      </c>
      <c r="U64" s="579">
        <f t="shared" si="6"/>
        <v>111289.59</v>
      </c>
      <c r="W64" s="9">
        <f t="shared" si="28"/>
        <v>0</v>
      </c>
      <c r="X64" s="9">
        <f t="shared" si="28"/>
        <v>0</v>
      </c>
      <c r="Y64" s="9">
        <f t="shared" si="28"/>
        <v>0</v>
      </c>
      <c r="Z64" s="9">
        <f t="shared" si="28"/>
        <v>0</v>
      </c>
      <c r="AA64" s="9">
        <f t="shared" si="28"/>
        <v>0</v>
      </c>
      <c r="AB64" s="9">
        <f t="shared" si="28"/>
        <v>0</v>
      </c>
      <c r="AC64" s="9">
        <f t="shared" si="28"/>
        <v>0</v>
      </c>
      <c r="AD64" s="9">
        <f t="shared" si="28"/>
        <v>111289.59</v>
      </c>
      <c r="AE64" s="9">
        <f t="shared" si="28"/>
        <v>0</v>
      </c>
      <c r="AF64" s="9">
        <f t="shared" si="28"/>
        <v>0</v>
      </c>
      <c r="AG64" s="9">
        <f t="shared" si="28"/>
        <v>0</v>
      </c>
      <c r="AH64" s="9">
        <f t="shared" si="28"/>
        <v>0</v>
      </c>
      <c r="AI64" s="9">
        <f t="shared" si="28"/>
        <v>0</v>
      </c>
      <c r="AJ64" s="9">
        <f t="shared" si="28"/>
        <v>0</v>
      </c>
      <c r="AK64" s="9">
        <f t="shared" si="27"/>
        <v>0</v>
      </c>
      <c r="AL64" s="9">
        <f t="shared" si="20"/>
        <v>0</v>
      </c>
      <c r="AM64" s="365">
        <f t="shared" si="3"/>
        <v>111289.59</v>
      </c>
      <c r="AN64" s="412">
        <f t="shared" si="7"/>
        <v>111289.59</v>
      </c>
      <c r="AO64" s="412">
        <f t="shared" si="8"/>
        <v>0</v>
      </c>
    </row>
    <row r="65" spans="1:41" ht="14">
      <c r="A65" s="402" t="s">
        <v>533</v>
      </c>
      <c r="B65" s="403">
        <v>7008200</v>
      </c>
      <c r="C65" s="403">
        <v>72</v>
      </c>
      <c r="D65" s="402" t="s">
        <v>347</v>
      </c>
      <c r="E65" s="402" t="s">
        <v>347</v>
      </c>
      <c r="F65" s="558">
        <v>17262.28</v>
      </c>
      <c r="G65" s="561">
        <v>13893.18</v>
      </c>
      <c r="H65" s="563">
        <v>15246.71</v>
      </c>
      <c r="I65" s="568">
        <v>18181.46</v>
      </c>
      <c r="J65" s="568">
        <v>12897.5</v>
      </c>
      <c r="K65" s="572">
        <v>8937.31</v>
      </c>
      <c r="L65" s="576">
        <v>8812.5499999999993</v>
      </c>
      <c r="M65" s="583">
        <v>8799.06</v>
      </c>
      <c r="N65" s="585">
        <v>9290.66</v>
      </c>
      <c r="O65" s="482"/>
      <c r="P65" s="482"/>
      <c r="Q65" s="482"/>
      <c r="R65" s="586">
        <f t="shared" si="4"/>
        <v>113320.71</v>
      </c>
      <c r="S65" s="412">
        <f>+SUM(F65:K65)</f>
        <v>86418.44</v>
      </c>
      <c r="T65" s="412">
        <f>+'2023'!R59</f>
        <v>87936.71</v>
      </c>
      <c r="U65" s="579">
        <f t="shared" si="6"/>
        <v>113320.71</v>
      </c>
      <c r="W65" s="9">
        <f t="shared" si="28"/>
        <v>0</v>
      </c>
      <c r="X65" s="9">
        <f t="shared" si="28"/>
        <v>0</v>
      </c>
      <c r="Y65" s="9">
        <f t="shared" si="28"/>
        <v>0</v>
      </c>
      <c r="Z65" s="9">
        <f t="shared" si="28"/>
        <v>0</v>
      </c>
      <c r="AA65" s="9">
        <f t="shared" si="28"/>
        <v>0</v>
      </c>
      <c r="AB65" s="9">
        <f t="shared" si="28"/>
        <v>0</v>
      </c>
      <c r="AC65" s="9">
        <f t="shared" si="28"/>
        <v>0</v>
      </c>
      <c r="AD65" s="9">
        <f t="shared" si="28"/>
        <v>0</v>
      </c>
      <c r="AE65" s="9">
        <f t="shared" si="28"/>
        <v>0</v>
      </c>
      <c r="AF65" s="9">
        <f t="shared" si="28"/>
        <v>113320.71</v>
      </c>
      <c r="AG65" s="9">
        <f t="shared" si="28"/>
        <v>0</v>
      </c>
      <c r="AH65" s="9">
        <f t="shared" si="28"/>
        <v>0</v>
      </c>
      <c r="AI65" s="9">
        <f t="shared" si="28"/>
        <v>0</v>
      </c>
      <c r="AJ65" s="9">
        <f t="shared" si="28"/>
        <v>0</v>
      </c>
      <c r="AK65" s="9">
        <f>+IF($A65=AK$3,$U65,0)</f>
        <v>0</v>
      </c>
      <c r="AL65" s="9">
        <f>+IF($A65=AL$3,$U65,0)</f>
        <v>0</v>
      </c>
      <c r="AM65" s="365">
        <f t="shared" si="3"/>
        <v>113320.71</v>
      </c>
      <c r="AN65" s="412">
        <f t="shared" si="7"/>
        <v>113320.71</v>
      </c>
      <c r="AO65" s="412">
        <f t="shared" si="8"/>
        <v>0</v>
      </c>
    </row>
    <row r="66" spans="1:41" ht="14">
      <c r="A66" s="402" t="s">
        <v>531</v>
      </c>
      <c r="B66" s="404">
        <v>15062715</v>
      </c>
      <c r="C66" s="404">
        <v>218</v>
      </c>
      <c r="D66" s="405"/>
      <c r="E66" s="405" t="s">
        <v>917</v>
      </c>
      <c r="F66" s="558">
        <v>73709.97</v>
      </c>
      <c r="G66" s="561">
        <v>81558.8</v>
      </c>
      <c r="H66" s="563">
        <v>95641.54</v>
      </c>
      <c r="I66" s="567">
        <v>117623.57</v>
      </c>
      <c r="J66" s="572">
        <v>75079.399999999994</v>
      </c>
      <c r="K66" s="572">
        <v>55916.71</v>
      </c>
      <c r="L66" s="576">
        <v>55349.14</v>
      </c>
      <c r="M66" s="583">
        <v>69151.47</v>
      </c>
      <c r="N66" s="585">
        <v>72433.460000000006</v>
      </c>
      <c r="O66" s="482"/>
      <c r="P66" s="482"/>
      <c r="Q66" s="482"/>
      <c r="R66" s="586">
        <f t="shared" si="4"/>
        <v>696464.05999999994</v>
      </c>
      <c r="S66" s="412">
        <f t="shared" si="5"/>
        <v>499529.99000000005</v>
      </c>
      <c r="T66" s="412">
        <f>+'2023'!R61</f>
        <v>498745.94</v>
      </c>
      <c r="U66" s="579">
        <f t="shared" si="6"/>
        <v>696464.05999999994</v>
      </c>
      <c r="W66" s="9">
        <f t="shared" si="28"/>
        <v>0</v>
      </c>
      <c r="X66" s="9">
        <f t="shared" si="28"/>
        <v>0</v>
      </c>
      <c r="Y66" s="9">
        <f t="shared" si="28"/>
        <v>0</v>
      </c>
      <c r="Z66" s="9">
        <f t="shared" si="28"/>
        <v>696464.05999999994</v>
      </c>
      <c r="AA66" s="9">
        <f t="shared" si="28"/>
        <v>0</v>
      </c>
      <c r="AB66" s="9">
        <f t="shared" si="28"/>
        <v>0</v>
      </c>
      <c r="AC66" s="9">
        <f t="shared" si="28"/>
        <v>0</v>
      </c>
      <c r="AD66" s="9">
        <f t="shared" si="28"/>
        <v>0</v>
      </c>
      <c r="AE66" s="9">
        <f t="shared" si="28"/>
        <v>0</v>
      </c>
      <c r="AF66" s="9">
        <f t="shared" si="28"/>
        <v>0</v>
      </c>
      <c r="AG66" s="9">
        <f t="shared" si="28"/>
        <v>0</v>
      </c>
      <c r="AH66" s="9">
        <f t="shared" si="28"/>
        <v>0</v>
      </c>
      <c r="AI66" s="9">
        <f t="shared" si="28"/>
        <v>0</v>
      </c>
      <c r="AJ66" s="9">
        <f t="shared" si="28"/>
        <v>0</v>
      </c>
      <c r="AK66" s="9">
        <f t="shared" si="27"/>
        <v>0</v>
      </c>
      <c r="AL66" s="9">
        <f t="shared" si="20"/>
        <v>0</v>
      </c>
      <c r="AM66" s="365">
        <f t="shared" si="3"/>
        <v>696464.05999999994</v>
      </c>
      <c r="AN66" s="412">
        <f t="shared" si="7"/>
        <v>696464.05999999994</v>
      </c>
      <c r="AO66" s="412">
        <f t="shared" si="8"/>
        <v>0</v>
      </c>
    </row>
    <row r="67" spans="1:41" ht="14">
      <c r="A67" s="402" t="s">
        <v>531</v>
      </c>
      <c r="B67" s="404">
        <v>15065301</v>
      </c>
      <c r="C67" s="404">
        <v>119</v>
      </c>
      <c r="D67" s="405"/>
      <c r="E67" s="405" t="s">
        <v>918</v>
      </c>
      <c r="F67" s="558">
        <v>33019.9</v>
      </c>
      <c r="G67" s="561">
        <v>38880.519999999997</v>
      </c>
      <c r="H67" s="563">
        <v>42923.82</v>
      </c>
      <c r="I67" s="567">
        <v>48978.78</v>
      </c>
      <c r="J67" s="572">
        <v>34877.94</v>
      </c>
      <c r="K67" s="572">
        <v>24097.97</v>
      </c>
      <c r="L67" s="576">
        <v>24714.31</v>
      </c>
      <c r="M67" s="583">
        <v>25496.74</v>
      </c>
      <c r="N67" s="585">
        <v>36503.300000000003</v>
      </c>
      <c r="O67" s="482"/>
      <c r="P67" s="482"/>
      <c r="Q67" s="482"/>
      <c r="R67" s="586">
        <f t="shared" si="4"/>
        <v>309493.27999999997</v>
      </c>
      <c r="S67" s="412">
        <f t="shared" si="5"/>
        <v>222778.93</v>
      </c>
      <c r="T67" s="412">
        <f>+'2023'!R62</f>
        <v>208832.5</v>
      </c>
      <c r="U67" s="579">
        <f t="shared" si="6"/>
        <v>309493.27999999997</v>
      </c>
      <c r="W67" s="9">
        <f t="shared" si="28"/>
        <v>0</v>
      </c>
      <c r="X67" s="9">
        <f t="shared" si="28"/>
        <v>0</v>
      </c>
      <c r="Y67" s="9">
        <f t="shared" si="28"/>
        <v>0</v>
      </c>
      <c r="Z67" s="9">
        <f t="shared" si="28"/>
        <v>309493.27999999997</v>
      </c>
      <c r="AA67" s="9">
        <f t="shared" si="28"/>
        <v>0</v>
      </c>
      <c r="AB67" s="9">
        <f t="shared" si="28"/>
        <v>0</v>
      </c>
      <c r="AC67" s="9">
        <f t="shared" si="28"/>
        <v>0</v>
      </c>
      <c r="AD67" s="9">
        <f t="shared" si="28"/>
        <v>0</v>
      </c>
      <c r="AE67" s="9">
        <f t="shared" si="28"/>
        <v>0</v>
      </c>
      <c r="AF67" s="9">
        <f t="shared" si="28"/>
        <v>0</v>
      </c>
      <c r="AG67" s="9">
        <f t="shared" si="28"/>
        <v>0</v>
      </c>
      <c r="AH67" s="9">
        <f t="shared" si="28"/>
        <v>0</v>
      </c>
      <c r="AI67" s="9">
        <f t="shared" si="28"/>
        <v>0</v>
      </c>
      <c r="AJ67" s="9">
        <f t="shared" si="28"/>
        <v>0</v>
      </c>
      <c r="AK67" s="9">
        <f t="shared" si="27"/>
        <v>0</v>
      </c>
      <c r="AL67" s="9">
        <f t="shared" si="20"/>
        <v>0</v>
      </c>
      <c r="AM67" s="365">
        <f t="shared" si="3"/>
        <v>309493.27999999997</v>
      </c>
      <c r="AN67" s="412">
        <f t="shared" si="7"/>
        <v>309493.27999999997</v>
      </c>
      <c r="AO67" s="412">
        <f t="shared" si="8"/>
        <v>0</v>
      </c>
    </row>
    <row r="68" spans="1:41" ht="14">
      <c r="A68" s="402" t="s">
        <v>533</v>
      </c>
      <c r="B68" s="403">
        <v>7008700</v>
      </c>
      <c r="C68" s="403"/>
      <c r="D68" s="402" t="s">
        <v>109</v>
      </c>
      <c r="E68" s="402" t="s">
        <v>109</v>
      </c>
      <c r="F68" s="558">
        <v>708.39</v>
      </c>
      <c r="G68" s="561">
        <v>160.13999999999999</v>
      </c>
      <c r="H68" s="563">
        <v>588.63</v>
      </c>
      <c r="I68" s="567">
        <v>255</v>
      </c>
      <c r="J68" s="568">
        <v>354.12</v>
      </c>
      <c r="K68" s="572">
        <v>34.85</v>
      </c>
      <c r="L68" s="576">
        <v>474.74</v>
      </c>
      <c r="M68" s="583">
        <v>46.33</v>
      </c>
      <c r="N68" s="585">
        <v>118.16</v>
      </c>
      <c r="O68" s="482"/>
      <c r="P68" s="482"/>
      <c r="Q68" s="482"/>
      <c r="R68" s="586">
        <f t="shared" si="4"/>
        <v>2740.3599999999997</v>
      </c>
      <c r="S68" s="412">
        <f t="shared" si="5"/>
        <v>2101.1299999999997</v>
      </c>
      <c r="T68" s="412">
        <f>+'2023'!R64</f>
        <v>2497.7399999999998</v>
      </c>
      <c r="U68" s="579">
        <f t="shared" si="6"/>
        <v>2740.3599999999997</v>
      </c>
      <c r="W68" s="9">
        <f t="shared" si="28"/>
        <v>0</v>
      </c>
      <c r="X68" s="9">
        <f t="shared" si="28"/>
        <v>0</v>
      </c>
      <c r="Y68" s="9">
        <f t="shared" si="28"/>
        <v>0</v>
      </c>
      <c r="Z68" s="9">
        <f t="shared" si="28"/>
        <v>0</v>
      </c>
      <c r="AA68" s="9">
        <f t="shared" si="28"/>
        <v>0</v>
      </c>
      <c r="AB68" s="9">
        <f t="shared" si="28"/>
        <v>0</v>
      </c>
      <c r="AC68" s="9">
        <f t="shared" si="28"/>
        <v>0</v>
      </c>
      <c r="AD68" s="9">
        <f t="shared" si="28"/>
        <v>0</v>
      </c>
      <c r="AE68" s="9">
        <f t="shared" si="28"/>
        <v>0</v>
      </c>
      <c r="AF68" s="9">
        <f t="shared" si="28"/>
        <v>2740.3599999999997</v>
      </c>
      <c r="AG68" s="9">
        <f t="shared" si="28"/>
        <v>0</v>
      </c>
      <c r="AH68" s="9">
        <f t="shared" si="28"/>
        <v>0</v>
      </c>
      <c r="AI68" s="9">
        <f t="shared" si="28"/>
        <v>0</v>
      </c>
      <c r="AJ68" s="9">
        <f t="shared" si="28"/>
        <v>0</v>
      </c>
      <c r="AK68" s="9">
        <f t="shared" si="27"/>
        <v>0</v>
      </c>
      <c r="AL68" s="9">
        <f t="shared" si="20"/>
        <v>0</v>
      </c>
      <c r="AM68" s="365">
        <f t="shared" ref="AM68:AM104" si="29">+SUM(W68:AL68)</f>
        <v>2740.3599999999997</v>
      </c>
      <c r="AN68" s="412">
        <f t="shared" si="7"/>
        <v>2740.3599999999997</v>
      </c>
      <c r="AO68" s="412">
        <f t="shared" si="8"/>
        <v>0</v>
      </c>
    </row>
    <row r="69" spans="1:41" ht="14">
      <c r="A69" s="402" t="s">
        <v>1000</v>
      </c>
      <c r="B69" s="403">
        <v>7008800</v>
      </c>
      <c r="C69" s="403">
        <v>7</v>
      </c>
      <c r="D69" s="402" t="s">
        <v>88</v>
      </c>
      <c r="E69" s="402" t="s">
        <v>88</v>
      </c>
      <c r="F69" s="558">
        <v>437.5</v>
      </c>
      <c r="G69" s="561">
        <v>551.24</v>
      </c>
      <c r="H69" s="563">
        <v>1381.59</v>
      </c>
      <c r="I69" s="482"/>
      <c r="J69" s="572">
        <f>2286.36+1229.74</f>
        <v>3516.1000000000004</v>
      </c>
      <c r="K69" s="572">
        <v>300.16000000000003</v>
      </c>
      <c r="L69" s="583">
        <v>154.41999999999999</v>
      </c>
      <c r="M69" s="583">
        <v>624.13</v>
      </c>
      <c r="N69" s="585">
        <v>83.95</v>
      </c>
      <c r="O69" s="482"/>
      <c r="P69" s="482"/>
      <c r="Q69" s="482"/>
      <c r="R69" s="586">
        <f t="shared" ref="R69:R104" si="30">+SUM(F69:Q69)</f>
        <v>7049.09</v>
      </c>
      <c r="S69" s="412">
        <f t="shared" ref="S69:S104" si="31">+SUM(F69:K69)</f>
        <v>6186.59</v>
      </c>
      <c r="T69" s="412">
        <f>+'2023'!R65</f>
        <v>6051.64</v>
      </c>
      <c r="U69" s="579">
        <f t="shared" ref="U69:U104" si="32">+SUM(F69:Q69)</f>
        <v>7049.09</v>
      </c>
      <c r="W69" s="9">
        <f t="shared" si="28"/>
        <v>0</v>
      </c>
      <c r="X69" s="9">
        <f t="shared" si="28"/>
        <v>0</v>
      </c>
      <c r="Y69" s="9">
        <f t="shared" si="28"/>
        <v>0</v>
      </c>
      <c r="Z69" s="9">
        <f t="shared" si="28"/>
        <v>0</v>
      </c>
      <c r="AA69" s="9">
        <f t="shared" si="28"/>
        <v>0</v>
      </c>
      <c r="AB69" s="9">
        <f t="shared" si="28"/>
        <v>0</v>
      </c>
      <c r="AC69" s="9">
        <f t="shared" si="28"/>
        <v>0</v>
      </c>
      <c r="AD69" s="9">
        <f t="shared" si="28"/>
        <v>0</v>
      </c>
      <c r="AE69" s="9">
        <f t="shared" si="28"/>
        <v>0</v>
      </c>
      <c r="AF69" s="9">
        <f t="shared" si="28"/>
        <v>0</v>
      </c>
      <c r="AG69" s="9">
        <f t="shared" si="28"/>
        <v>0</v>
      </c>
      <c r="AH69" s="9">
        <f t="shared" si="28"/>
        <v>0</v>
      </c>
      <c r="AI69" s="9">
        <f t="shared" si="28"/>
        <v>0</v>
      </c>
      <c r="AJ69" s="9">
        <f t="shared" si="28"/>
        <v>7049.09</v>
      </c>
      <c r="AK69" s="9">
        <f t="shared" si="27"/>
        <v>0</v>
      </c>
      <c r="AL69" s="9">
        <f t="shared" si="20"/>
        <v>0</v>
      </c>
      <c r="AM69" s="365">
        <f t="shared" si="29"/>
        <v>7049.09</v>
      </c>
      <c r="AN69" s="412">
        <f t="shared" ref="AN69:AN104" si="33">+U69</f>
        <v>7049.09</v>
      </c>
      <c r="AO69" s="412">
        <f t="shared" ref="AO69:AO104" si="34">+AM69-AN69</f>
        <v>0</v>
      </c>
    </row>
    <row r="70" spans="1:41" ht="14">
      <c r="A70" s="402" t="s">
        <v>663</v>
      </c>
      <c r="B70" s="403">
        <v>15067165</v>
      </c>
      <c r="C70" s="403">
        <v>409</v>
      </c>
      <c r="D70" s="402" t="s">
        <v>264</v>
      </c>
      <c r="E70" s="402" t="s">
        <v>893</v>
      </c>
      <c r="F70" s="558">
        <v>107474.07</v>
      </c>
      <c r="G70" s="561">
        <v>120861.35</v>
      </c>
      <c r="H70" s="563">
        <v>112916.7</v>
      </c>
      <c r="I70" s="567">
        <f>149242.97</f>
        <v>149242.97</v>
      </c>
      <c r="J70" s="568">
        <v>90047</v>
      </c>
      <c r="K70" s="572">
        <v>32766.95</v>
      </c>
      <c r="L70" s="576">
        <v>45582.77</v>
      </c>
      <c r="M70" s="583">
        <v>56963.35</v>
      </c>
      <c r="N70" s="585">
        <v>107208.31</v>
      </c>
      <c r="O70" s="482"/>
      <c r="P70" s="482"/>
      <c r="Q70" s="482"/>
      <c r="R70" s="586">
        <f t="shared" si="30"/>
        <v>823063.47</v>
      </c>
      <c r="S70" s="412">
        <f t="shared" si="31"/>
        <v>613309.03999999992</v>
      </c>
      <c r="T70" s="412">
        <f>+'2023'!R66</f>
        <v>618985.78</v>
      </c>
      <c r="U70" s="579">
        <f t="shared" si="32"/>
        <v>823063.47</v>
      </c>
      <c r="W70" s="9">
        <f t="shared" ref="W70:AJ79" si="35">+IF($A70=W$3,$U70,0)</f>
        <v>0</v>
      </c>
      <c r="X70" s="9">
        <f t="shared" si="35"/>
        <v>0</v>
      </c>
      <c r="Y70" s="9">
        <f t="shared" si="35"/>
        <v>0</v>
      </c>
      <c r="Z70" s="9">
        <f t="shared" si="35"/>
        <v>0</v>
      </c>
      <c r="AA70" s="9">
        <f t="shared" si="35"/>
        <v>0</v>
      </c>
      <c r="AB70" s="9">
        <f t="shared" si="35"/>
        <v>0</v>
      </c>
      <c r="AC70" s="9">
        <f t="shared" si="35"/>
        <v>0</v>
      </c>
      <c r="AD70" s="9">
        <f t="shared" si="35"/>
        <v>823063.47</v>
      </c>
      <c r="AE70" s="9">
        <f t="shared" si="35"/>
        <v>0</v>
      </c>
      <c r="AF70" s="9">
        <f t="shared" si="35"/>
        <v>0</v>
      </c>
      <c r="AG70" s="9">
        <f t="shared" si="35"/>
        <v>0</v>
      </c>
      <c r="AH70" s="9">
        <f t="shared" si="35"/>
        <v>0</v>
      </c>
      <c r="AI70" s="9">
        <f t="shared" si="35"/>
        <v>0</v>
      </c>
      <c r="AJ70" s="9">
        <f t="shared" si="35"/>
        <v>0</v>
      </c>
      <c r="AK70" s="9">
        <f t="shared" si="27"/>
        <v>0</v>
      </c>
      <c r="AL70" s="9">
        <f t="shared" si="20"/>
        <v>0</v>
      </c>
      <c r="AM70" s="365">
        <f t="shared" si="29"/>
        <v>823063.47</v>
      </c>
      <c r="AN70" s="412">
        <f t="shared" si="33"/>
        <v>823063.47</v>
      </c>
      <c r="AO70" s="412">
        <f t="shared" si="34"/>
        <v>0</v>
      </c>
    </row>
    <row r="71" spans="1:41" ht="14">
      <c r="A71" s="402" t="s">
        <v>659</v>
      </c>
      <c r="B71" s="403">
        <v>7005102</v>
      </c>
      <c r="C71" s="403">
        <v>99</v>
      </c>
      <c r="D71" s="402" t="s">
        <v>633</v>
      </c>
      <c r="E71" s="402" t="s">
        <v>265</v>
      </c>
      <c r="F71" s="558">
        <v>6757.75</v>
      </c>
      <c r="G71" s="561">
        <v>4475.53</v>
      </c>
      <c r="H71" s="563">
        <v>5257.62</v>
      </c>
      <c r="I71" s="567">
        <v>6441.12</v>
      </c>
      <c r="J71" s="572">
        <v>3793.85</v>
      </c>
      <c r="K71" s="576">
        <v>2937.84</v>
      </c>
      <c r="L71" s="576">
        <v>2686.39</v>
      </c>
      <c r="M71" s="583">
        <v>2820.37</v>
      </c>
      <c r="N71" s="585">
        <v>3898.45</v>
      </c>
      <c r="O71" s="482"/>
      <c r="P71" s="482"/>
      <c r="Q71" s="482"/>
      <c r="R71" s="586">
        <f t="shared" si="30"/>
        <v>39068.919999999991</v>
      </c>
      <c r="S71" s="412">
        <f t="shared" si="31"/>
        <v>29663.709999999995</v>
      </c>
      <c r="T71" s="412">
        <f>+'2023'!R67</f>
        <v>31848.09</v>
      </c>
      <c r="U71" s="579">
        <f t="shared" si="32"/>
        <v>39068.919999999991</v>
      </c>
      <c r="W71" s="9">
        <f t="shared" si="35"/>
        <v>0</v>
      </c>
      <c r="X71" s="9">
        <f t="shared" si="35"/>
        <v>0</v>
      </c>
      <c r="Y71" s="9">
        <f t="shared" si="35"/>
        <v>0</v>
      </c>
      <c r="Z71" s="9">
        <f t="shared" si="35"/>
        <v>0</v>
      </c>
      <c r="AA71" s="9">
        <f t="shared" si="35"/>
        <v>0</v>
      </c>
      <c r="AB71" s="9">
        <f t="shared" si="35"/>
        <v>0</v>
      </c>
      <c r="AC71" s="9">
        <f t="shared" si="35"/>
        <v>0</v>
      </c>
      <c r="AD71" s="9">
        <f t="shared" si="35"/>
        <v>0</v>
      </c>
      <c r="AE71" s="9">
        <f t="shared" si="35"/>
        <v>0</v>
      </c>
      <c r="AF71" s="9">
        <f t="shared" si="35"/>
        <v>0</v>
      </c>
      <c r="AG71" s="9">
        <f t="shared" si="35"/>
        <v>0</v>
      </c>
      <c r="AH71" s="9">
        <f t="shared" si="35"/>
        <v>39068.919999999991</v>
      </c>
      <c r="AI71" s="9">
        <f t="shared" si="35"/>
        <v>0</v>
      </c>
      <c r="AJ71" s="9">
        <f t="shared" si="35"/>
        <v>0</v>
      </c>
      <c r="AK71" s="9">
        <f t="shared" si="27"/>
        <v>0</v>
      </c>
      <c r="AL71" s="9">
        <f t="shared" si="20"/>
        <v>0</v>
      </c>
      <c r="AM71" s="365">
        <f t="shared" si="29"/>
        <v>39068.919999999991</v>
      </c>
      <c r="AN71" s="412">
        <f t="shared" si="33"/>
        <v>39068.919999999991</v>
      </c>
      <c r="AO71" s="412">
        <f t="shared" si="34"/>
        <v>0</v>
      </c>
    </row>
    <row r="72" spans="1:41" ht="14">
      <c r="A72" s="402" t="s">
        <v>1000</v>
      </c>
      <c r="B72" s="403">
        <v>13675300</v>
      </c>
      <c r="C72" s="403"/>
      <c r="D72" s="402" t="s">
        <v>646</v>
      </c>
      <c r="E72" s="402" t="s">
        <v>967</v>
      </c>
      <c r="F72" s="558">
        <v>237.41</v>
      </c>
      <c r="G72" s="544"/>
      <c r="H72" s="563">
        <v>727.92</v>
      </c>
      <c r="I72" s="544"/>
      <c r="J72" s="568">
        <v>821.51</v>
      </c>
      <c r="K72" s="572">
        <v>316.07</v>
      </c>
      <c r="L72" s="585">
        <v>316.07</v>
      </c>
      <c r="M72" s="482"/>
      <c r="N72" s="482"/>
      <c r="O72" s="482"/>
      <c r="P72" s="482"/>
      <c r="Q72" s="482"/>
      <c r="R72" s="586">
        <f t="shared" si="30"/>
        <v>2418.98</v>
      </c>
      <c r="S72" s="412">
        <f t="shared" si="31"/>
        <v>2102.91</v>
      </c>
      <c r="T72" s="412">
        <f>+'2023'!R68</f>
        <v>1035.22</v>
      </c>
      <c r="U72" s="579">
        <f t="shared" si="32"/>
        <v>2418.98</v>
      </c>
      <c r="W72" s="9">
        <f t="shared" si="35"/>
        <v>0</v>
      </c>
      <c r="X72" s="9">
        <f t="shared" si="35"/>
        <v>0</v>
      </c>
      <c r="Y72" s="9">
        <f t="shared" si="35"/>
        <v>0</v>
      </c>
      <c r="Z72" s="9">
        <f t="shared" si="35"/>
        <v>0</v>
      </c>
      <c r="AA72" s="9">
        <f t="shared" si="35"/>
        <v>0</v>
      </c>
      <c r="AB72" s="9">
        <f t="shared" si="35"/>
        <v>0</v>
      </c>
      <c r="AC72" s="9">
        <f t="shared" si="35"/>
        <v>0</v>
      </c>
      <c r="AD72" s="9">
        <f t="shared" si="35"/>
        <v>0</v>
      </c>
      <c r="AE72" s="9">
        <f t="shared" si="35"/>
        <v>0</v>
      </c>
      <c r="AF72" s="9">
        <f t="shared" si="35"/>
        <v>0</v>
      </c>
      <c r="AG72" s="9">
        <f t="shared" si="35"/>
        <v>0</v>
      </c>
      <c r="AH72" s="9">
        <f t="shared" si="35"/>
        <v>0</v>
      </c>
      <c r="AI72" s="9">
        <f t="shared" si="35"/>
        <v>0</v>
      </c>
      <c r="AJ72" s="9">
        <f t="shared" si="35"/>
        <v>2418.98</v>
      </c>
      <c r="AK72" s="9">
        <f t="shared" si="27"/>
        <v>0</v>
      </c>
      <c r="AL72" s="9">
        <f t="shared" si="20"/>
        <v>0</v>
      </c>
      <c r="AM72" s="365">
        <f t="shared" si="29"/>
        <v>2418.98</v>
      </c>
      <c r="AN72" s="412">
        <f t="shared" si="33"/>
        <v>2418.98</v>
      </c>
      <c r="AO72" s="412">
        <f t="shared" si="34"/>
        <v>0</v>
      </c>
    </row>
    <row r="73" spans="1:41" ht="14">
      <c r="A73" s="402" t="s">
        <v>535</v>
      </c>
      <c r="B73" s="403">
        <v>15061713</v>
      </c>
      <c r="C73" s="403">
        <v>84</v>
      </c>
      <c r="D73" s="405"/>
      <c r="E73" s="405" t="s">
        <v>511</v>
      </c>
      <c r="F73" s="558">
        <v>9207.25</v>
      </c>
      <c r="G73" s="561">
        <v>8589.06</v>
      </c>
      <c r="H73" s="563">
        <v>8486.77</v>
      </c>
      <c r="I73" s="567">
        <v>10262.030000000001</v>
      </c>
      <c r="J73" s="568">
        <v>7604.92</v>
      </c>
      <c r="K73" s="572">
        <v>7287.74</v>
      </c>
      <c r="L73" s="576">
        <v>7390.37</v>
      </c>
      <c r="M73" s="583">
        <v>7596.65</v>
      </c>
      <c r="N73" s="585">
        <v>6180.34</v>
      </c>
      <c r="O73" s="482"/>
      <c r="P73" s="482"/>
      <c r="Q73" s="482"/>
      <c r="R73" s="586">
        <f t="shared" si="30"/>
        <v>72605.12999999999</v>
      </c>
      <c r="S73" s="412">
        <f>+SUM(F73:K73)</f>
        <v>51437.77</v>
      </c>
      <c r="T73" s="412">
        <f>+'2023'!R70</f>
        <v>49767.439999999995</v>
      </c>
      <c r="U73" s="579">
        <f t="shared" si="32"/>
        <v>72605.12999999999</v>
      </c>
      <c r="W73" s="9">
        <f t="shared" si="35"/>
        <v>0</v>
      </c>
      <c r="X73" s="9">
        <f t="shared" si="35"/>
        <v>0</v>
      </c>
      <c r="Y73" s="9">
        <f t="shared" si="35"/>
        <v>0</v>
      </c>
      <c r="Z73" s="9">
        <f t="shared" si="35"/>
        <v>0</v>
      </c>
      <c r="AA73" s="9">
        <f t="shared" si="35"/>
        <v>0</v>
      </c>
      <c r="AB73" s="9">
        <f t="shared" si="35"/>
        <v>0</v>
      </c>
      <c r="AC73" s="9">
        <f t="shared" si="35"/>
        <v>0</v>
      </c>
      <c r="AD73" s="9">
        <f t="shared" si="35"/>
        <v>72605.12999999999</v>
      </c>
      <c r="AE73" s="9">
        <f t="shared" si="35"/>
        <v>0</v>
      </c>
      <c r="AF73" s="9">
        <f t="shared" si="35"/>
        <v>0</v>
      </c>
      <c r="AG73" s="9">
        <f t="shared" si="35"/>
        <v>0</v>
      </c>
      <c r="AH73" s="9">
        <f t="shared" si="35"/>
        <v>0</v>
      </c>
      <c r="AI73" s="9">
        <f t="shared" si="35"/>
        <v>0</v>
      </c>
      <c r="AJ73" s="9">
        <f t="shared" si="35"/>
        <v>0</v>
      </c>
      <c r="AK73" s="9">
        <f>+IF($A73=AK$3,$U73,0)</f>
        <v>0</v>
      </c>
      <c r="AL73" s="9">
        <f>+IF($A73=AL$3,$U73,0)</f>
        <v>0</v>
      </c>
      <c r="AM73" s="365">
        <f t="shared" si="29"/>
        <v>72605.12999999999</v>
      </c>
      <c r="AN73" s="412">
        <f t="shared" si="33"/>
        <v>72605.12999999999</v>
      </c>
      <c r="AO73" s="412">
        <f t="shared" si="34"/>
        <v>0</v>
      </c>
    </row>
    <row r="74" spans="1:41" ht="14">
      <c r="A74" s="402" t="s">
        <v>659</v>
      </c>
      <c r="B74" s="403">
        <v>15066520</v>
      </c>
      <c r="C74" s="403">
        <v>98</v>
      </c>
      <c r="D74" s="405"/>
      <c r="E74" s="405" t="s">
        <v>911</v>
      </c>
      <c r="F74" s="558">
        <v>7840.3</v>
      </c>
      <c r="G74" s="561">
        <v>7664.47</v>
      </c>
      <c r="H74" s="563">
        <v>9761.35</v>
      </c>
      <c r="I74" s="567">
        <v>10824.9</v>
      </c>
      <c r="J74" s="572">
        <v>6835.27</v>
      </c>
      <c r="K74" s="572">
        <v>5223.53</v>
      </c>
      <c r="L74" s="576">
        <v>5669.22</v>
      </c>
      <c r="M74" s="583">
        <v>5283.7</v>
      </c>
      <c r="N74" s="585">
        <v>8410.48</v>
      </c>
      <c r="O74" s="482"/>
      <c r="P74" s="482"/>
      <c r="Q74" s="482"/>
      <c r="R74" s="586">
        <f t="shared" si="30"/>
        <v>67513.22</v>
      </c>
      <c r="S74" s="412">
        <f t="shared" si="31"/>
        <v>48149.820000000007</v>
      </c>
      <c r="T74" s="412">
        <f>+'2023'!R69</f>
        <v>46942.04</v>
      </c>
      <c r="U74" s="579">
        <f t="shared" si="32"/>
        <v>67513.22</v>
      </c>
      <c r="W74" s="9">
        <f t="shared" si="35"/>
        <v>0</v>
      </c>
      <c r="X74" s="9">
        <f t="shared" si="35"/>
        <v>0</v>
      </c>
      <c r="Y74" s="9">
        <f t="shared" si="35"/>
        <v>0</v>
      </c>
      <c r="Z74" s="9">
        <f t="shared" si="35"/>
        <v>0</v>
      </c>
      <c r="AA74" s="9">
        <f t="shared" si="35"/>
        <v>0</v>
      </c>
      <c r="AB74" s="9">
        <f t="shared" si="35"/>
        <v>0</v>
      </c>
      <c r="AC74" s="9">
        <f t="shared" si="35"/>
        <v>0</v>
      </c>
      <c r="AD74" s="9">
        <f t="shared" si="35"/>
        <v>0</v>
      </c>
      <c r="AE74" s="9">
        <f t="shared" si="35"/>
        <v>0</v>
      </c>
      <c r="AF74" s="9">
        <f t="shared" si="35"/>
        <v>0</v>
      </c>
      <c r="AG74" s="9">
        <f t="shared" si="35"/>
        <v>0</v>
      </c>
      <c r="AH74" s="9">
        <f t="shared" si="35"/>
        <v>67513.22</v>
      </c>
      <c r="AI74" s="9">
        <f t="shared" si="35"/>
        <v>0</v>
      </c>
      <c r="AJ74" s="9">
        <f t="shared" si="35"/>
        <v>0</v>
      </c>
      <c r="AK74" s="9">
        <f t="shared" si="27"/>
        <v>0</v>
      </c>
      <c r="AL74" s="9">
        <f t="shared" si="20"/>
        <v>0</v>
      </c>
      <c r="AM74" s="365">
        <f t="shared" si="29"/>
        <v>67513.22</v>
      </c>
      <c r="AN74" s="412">
        <f t="shared" si="33"/>
        <v>67513.22</v>
      </c>
      <c r="AO74" s="412">
        <f t="shared" si="34"/>
        <v>0</v>
      </c>
    </row>
    <row r="75" spans="1:41" ht="14">
      <c r="A75" s="402" t="s">
        <v>658</v>
      </c>
      <c r="B75" s="403">
        <v>15063838</v>
      </c>
      <c r="C75" s="403">
        <v>120</v>
      </c>
      <c r="D75" s="402"/>
      <c r="E75" s="402" t="s">
        <v>908</v>
      </c>
      <c r="F75" s="558">
        <v>27810.73</v>
      </c>
      <c r="G75" s="561">
        <v>25931.25</v>
      </c>
      <c r="H75" s="563">
        <v>34288.49</v>
      </c>
      <c r="I75" s="567">
        <v>44600.54</v>
      </c>
      <c r="J75" s="482"/>
      <c r="K75" s="482"/>
      <c r="L75" s="482"/>
      <c r="M75" s="482"/>
      <c r="N75" s="482"/>
      <c r="O75" s="482"/>
      <c r="P75" s="482"/>
      <c r="Q75" s="482"/>
      <c r="R75" s="586">
        <f t="shared" si="30"/>
        <v>132631.01</v>
      </c>
      <c r="S75" s="412">
        <f t="shared" si="31"/>
        <v>132631.01</v>
      </c>
      <c r="T75" s="412">
        <f>+'2023'!R71</f>
        <v>180128.84</v>
      </c>
      <c r="U75" s="579">
        <f t="shared" si="32"/>
        <v>132631.01</v>
      </c>
      <c r="W75" s="9">
        <f t="shared" si="35"/>
        <v>0</v>
      </c>
      <c r="X75" s="9">
        <f t="shared" si="35"/>
        <v>0</v>
      </c>
      <c r="Y75" s="9">
        <f t="shared" si="35"/>
        <v>0</v>
      </c>
      <c r="Z75" s="9">
        <f t="shared" si="35"/>
        <v>0</v>
      </c>
      <c r="AA75" s="9">
        <f t="shared" si="35"/>
        <v>0</v>
      </c>
      <c r="AB75" s="9">
        <f t="shared" si="35"/>
        <v>0</v>
      </c>
      <c r="AC75" s="9">
        <f t="shared" si="35"/>
        <v>0</v>
      </c>
      <c r="AD75" s="9">
        <f t="shared" si="35"/>
        <v>0</v>
      </c>
      <c r="AE75" s="9">
        <f t="shared" si="35"/>
        <v>132631.01</v>
      </c>
      <c r="AF75" s="9">
        <f t="shared" si="35"/>
        <v>0</v>
      </c>
      <c r="AG75" s="9">
        <f t="shared" si="35"/>
        <v>0</v>
      </c>
      <c r="AH75" s="9">
        <f t="shared" si="35"/>
        <v>0</v>
      </c>
      <c r="AI75" s="9">
        <f t="shared" si="35"/>
        <v>0</v>
      </c>
      <c r="AJ75" s="9">
        <f t="shared" si="35"/>
        <v>0</v>
      </c>
      <c r="AK75" s="9">
        <f t="shared" si="27"/>
        <v>0</v>
      </c>
      <c r="AL75" s="9">
        <f t="shared" si="20"/>
        <v>0</v>
      </c>
      <c r="AM75" s="365">
        <f t="shared" si="29"/>
        <v>132631.01</v>
      </c>
      <c r="AN75" s="412">
        <f t="shared" si="33"/>
        <v>132631.01</v>
      </c>
      <c r="AO75" s="412">
        <f t="shared" si="34"/>
        <v>0</v>
      </c>
    </row>
    <row r="76" spans="1:41" ht="14">
      <c r="A76" s="402" t="s">
        <v>1000</v>
      </c>
      <c r="B76" s="403">
        <v>15074127</v>
      </c>
      <c r="C76" s="403"/>
      <c r="D76" s="402"/>
      <c r="E76" s="402" t="s">
        <v>1038</v>
      </c>
      <c r="F76" s="544"/>
      <c r="G76" s="563">
        <v>38.25</v>
      </c>
      <c r="H76" s="544"/>
      <c r="I76" s="544"/>
      <c r="J76" s="544"/>
      <c r="K76" s="544"/>
      <c r="L76" s="576">
        <v>200</v>
      </c>
      <c r="M76" s="482"/>
      <c r="N76" s="482"/>
      <c r="O76" s="482"/>
      <c r="P76" s="482"/>
      <c r="Q76" s="482"/>
      <c r="R76" s="586">
        <f t="shared" si="30"/>
        <v>238.25</v>
      </c>
      <c r="S76" s="412">
        <f t="shared" si="31"/>
        <v>38.25</v>
      </c>
      <c r="T76" s="412">
        <v>0</v>
      </c>
      <c r="U76" s="579">
        <f t="shared" si="32"/>
        <v>238.25</v>
      </c>
      <c r="W76" s="9">
        <f t="shared" si="35"/>
        <v>0</v>
      </c>
      <c r="X76" s="9">
        <f t="shared" si="35"/>
        <v>0</v>
      </c>
      <c r="Y76" s="9">
        <f t="shared" si="35"/>
        <v>0</v>
      </c>
      <c r="Z76" s="9">
        <f t="shared" si="35"/>
        <v>0</v>
      </c>
      <c r="AA76" s="9">
        <f t="shared" si="35"/>
        <v>0</v>
      </c>
      <c r="AB76" s="9">
        <f t="shared" si="35"/>
        <v>0</v>
      </c>
      <c r="AC76" s="9">
        <f t="shared" si="35"/>
        <v>0</v>
      </c>
      <c r="AD76" s="9">
        <f t="shared" si="35"/>
        <v>0</v>
      </c>
      <c r="AE76" s="9">
        <f t="shared" si="35"/>
        <v>0</v>
      </c>
      <c r="AF76" s="9">
        <f t="shared" si="35"/>
        <v>0</v>
      </c>
      <c r="AG76" s="9">
        <f t="shared" si="35"/>
        <v>0</v>
      </c>
      <c r="AH76" s="9">
        <f t="shared" si="35"/>
        <v>0</v>
      </c>
      <c r="AI76" s="9">
        <f t="shared" si="35"/>
        <v>0</v>
      </c>
      <c r="AJ76" s="9">
        <f t="shared" si="35"/>
        <v>238.25</v>
      </c>
      <c r="AK76" s="9">
        <f t="shared" si="27"/>
        <v>0</v>
      </c>
      <c r="AL76" s="9">
        <f t="shared" si="20"/>
        <v>0</v>
      </c>
      <c r="AM76" s="365">
        <f t="shared" si="29"/>
        <v>238.25</v>
      </c>
      <c r="AN76" s="412">
        <f t="shared" si="33"/>
        <v>238.25</v>
      </c>
      <c r="AO76" s="412">
        <f t="shared" si="34"/>
        <v>0</v>
      </c>
    </row>
    <row r="77" spans="1:41" ht="14">
      <c r="A77" s="402" t="s">
        <v>659</v>
      </c>
      <c r="B77" s="403">
        <v>15036180</v>
      </c>
      <c r="C77" s="403">
        <v>123</v>
      </c>
      <c r="D77" s="402" t="s">
        <v>626</v>
      </c>
      <c r="E77" s="402" t="s">
        <v>687</v>
      </c>
      <c r="F77" s="558">
        <v>10616.89</v>
      </c>
      <c r="G77" s="561">
        <v>8275.9699999999993</v>
      </c>
      <c r="H77" s="567">
        <v>9399.07</v>
      </c>
      <c r="I77" s="567">
        <v>12068.07</v>
      </c>
      <c r="J77" s="572">
        <v>7364.41</v>
      </c>
      <c r="K77" s="482"/>
      <c r="L77" s="576">
        <v>3364.06</v>
      </c>
      <c r="M77" s="583">
        <v>4694.9799999999996</v>
      </c>
      <c r="N77" s="585">
        <v>8522.15</v>
      </c>
      <c r="O77" s="482"/>
      <c r="P77" s="482"/>
      <c r="Q77" s="482"/>
      <c r="R77" s="586">
        <f t="shared" si="30"/>
        <v>64305.599999999999</v>
      </c>
      <c r="S77" s="412">
        <f t="shared" si="31"/>
        <v>47724.41</v>
      </c>
      <c r="T77" s="412">
        <f>+'2023'!R72</f>
        <v>48286.44</v>
      </c>
      <c r="U77" s="579">
        <f t="shared" si="32"/>
        <v>64305.599999999999</v>
      </c>
      <c r="W77" s="9">
        <f t="shared" si="35"/>
        <v>0</v>
      </c>
      <c r="X77" s="9">
        <f t="shared" si="35"/>
        <v>0</v>
      </c>
      <c r="Y77" s="9">
        <f t="shared" si="35"/>
        <v>0</v>
      </c>
      <c r="Z77" s="9">
        <f t="shared" si="35"/>
        <v>0</v>
      </c>
      <c r="AA77" s="9">
        <f t="shared" si="35"/>
        <v>0</v>
      </c>
      <c r="AB77" s="9">
        <f t="shared" si="35"/>
        <v>0</v>
      </c>
      <c r="AC77" s="9">
        <f t="shared" si="35"/>
        <v>0</v>
      </c>
      <c r="AD77" s="9">
        <f t="shared" si="35"/>
        <v>0</v>
      </c>
      <c r="AE77" s="9">
        <f t="shared" si="35"/>
        <v>0</v>
      </c>
      <c r="AF77" s="9">
        <f t="shared" si="35"/>
        <v>0</v>
      </c>
      <c r="AG77" s="9">
        <f t="shared" si="35"/>
        <v>0</v>
      </c>
      <c r="AH77" s="9">
        <f t="shared" si="35"/>
        <v>64305.599999999999</v>
      </c>
      <c r="AI77" s="9">
        <f t="shared" si="35"/>
        <v>0</v>
      </c>
      <c r="AJ77" s="9">
        <f t="shared" si="35"/>
        <v>0</v>
      </c>
      <c r="AK77" s="9">
        <f t="shared" si="27"/>
        <v>0</v>
      </c>
      <c r="AL77" s="9">
        <f t="shared" si="20"/>
        <v>0</v>
      </c>
      <c r="AM77" s="365">
        <f t="shared" si="29"/>
        <v>64305.599999999999</v>
      </c>
      <c r="AN77" s="412">
        <f t="shared" si="33"/>
        <v>64305.599999999999</v>
      </c>
      <c r="AO77" s="412">
        <f t="shared" si="34"/>
        <v>0</v>
      </c>
    </row>
    <row r="78" spans="1:41" ht="14">
      <c r="A78" s="402" t="s">
        <v>535</v>
      </c>
      <c r="B78" s="403">
        <v>15075513</v>
      </c>
      <c r="C78" s="403">
        <f>122+49</f>
        <v>171</v>
      </c>
      <c r="D78" s="402"/>
      <c r="E78" s="402" t="s">
        <v>998</v>
      </c>
      <c r="F78" s="558">
        <v>17733.88</v>
      </c>
      <c r="G78" s="561">
        <v>20267.96</v>
      </c>
      <c r="H78" s="563">
        <v>21132.32</v>
      </c>
      <c r="I78" s="567">
        <v>30581.72</v>
      </c>
      <c r="J78" s="572">
        <v>10554.8</v>
      </c>
      <c r="K78" s="572">
        <v>4404.72</v>
      </c>
      <c r="L78" s="576">
        <v>6521.56</v>
      </c>
      <c r="M78" s="583">
        <f>9107.16+8677.6</f>
        <v>17784.760000000002</v>
      </c>
      <c r="N78" s="482"/>
      <c r="O78" s="482"/>
      <c r="P78" s="482"/>
      <c r="Q78" s="482"/>
      <c r="R78" s="586">
        <f t="shared" si="30"/>
        <v>128981.72</v>
      </c>
      <c r="S78" s="412">
        <f t="shared" si="31"/>
        <v>104675.40000000001</v>
      </c>
      <c r="T78" s="412">
        <f>+'2023'!R73</f>
        <v>78406.84</v>
      </c>
      <c r="U78" s="579">
        <f t="shared" si="32"/>
        <v>128981.72</v>
      </c>
      <c r="W78" s="9">
        <f t="shared" si="35"/>
        <v>0</v>
      </c>
      <c r="X78" s="9">
        <f t="shared" si="35"/>
        <v>0</v>
      </c>
      <c r="Y78" s="9">
        <f t="shared" si="35"/>
        <v>0</v>
      </c>
      <c r="Z78" s="9">
        <f t="shared" si="35"/>
        <v>0</v>
      </c>
      <c r="AA78" s="9">
        <f t="shared" si="35"/>
        <v>0</v>
      </c>
      <c r="AB78" s="9">
        <f t="shared" si="35"/>
        <v>0</v>
      </c>
      <c r="AC78" s="9">
        <f t="shared" si="35"/>
        <v>0</v>
      </c>
      <c r="AD78" s="9">
        <f t="shared" si="35"/>
        <v>128981.72</v>
      </c>
      <c r="AE78" s="9">
        <f t="shared" si="35"/>
        <v>0</v>
      </c>
      <c r="AF78" s="9">
        <f t="shared" si="35"/>
        <v>0</v>
      </c>
      <c r="AG78" s="9">
        <f t="shared" si="35"/>
        <v>0</v>
      </c>
      <c r="AH78" s="9">
        <f t="shared" si="35"/>
        <v>0</v>
      </c>
      <c r="AI78" s="9">
        <f t="shared" si="35"/>
        <v>0</v>
      </c>
      <c r="AJ78" s="9">
        <f t="shared" si="35"/>
        <v>0</v>
      </c>
      <c r="AK78" s="9">
        <f t="shared" si="27"/>
        <v>0</v>
      </c>
      <c r="AL78" s="9">
        <f t="shared" si="20"/>
        <v>0</v>
      </c>
      <c r="AM78" s="365">
        <f t="shared" si="29"/>
        <v>128981.72</v>
      </c>
      <c r="AN78" s="412">
        <f t="shared" si="33"/>
        <v>128981.72</v>
      </c>
      <c r="AO78" s="412">
        <f t="shared" si="34"/>
        <v>0</v>
      </c>
    </row>
    <row r="79" spans="1:41" ht="14">
      <c r="A79" s="402" t="s">
        <v>662</v>
      </c>
      <c r="B79" s="403">
        <v>7001502</v>
      </c>
      <c r="C79" s="403">
        <v>145</v>
      </c>
      <c r="D79" s="402" t="s">
        <v>650</v>
      </c>
      <c r="E79" s="402" t="s">
        <v>270</v>
      </c>
      <c r="F79" s="558">
        <v>6149.26</v>
      </c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586">
        <f t="shared" si="30"/>
        <v>6149.26</v>
      </c>
      <c r="S79" s="412">
        <f t="shared" si="31"/>
        <v>6149.26</v>
      </c>
      <c r="T79" s="412">
        <f>+'2023'!R74</f>
        <v>34578.89</v>
      </c>
      <c r="U79" s="579">
        <f t="shared" si="32"/>
        <v>6149.26</v>
      </c>
      <c r="W79" s="9">
        <f t="shared" si="35"/>
        <v>0</v>
      </c>
      <c r="X79" s="9">
        <f t="shared" si="35"/>
        <v>0</v>
      </c>
      <c r="Y79" s="9">
        <f t="shared" si="35"/>
        <v>6149.26</v>
      </c>
      <c r="Z79" s="9">
        <f t="shared" si="35"/>
        <v>0</v>
      </c>
      <c r="AA79" s="9">
        <f t="shared" si="35"/>
        <v>0</v>
      </c>
      <c r="AB79" s="9">
        <f t="shared" si="35"/>
        <v>0</v>
      </c>
      <c r="AC79" s="9">
        <f t="shared" si="35"/>
        <v>0</v>
      </c>
      <c r="AD79" s="9">
        <f t="shared" si="35"/>
        <v>0</v>
      </c>
      <c r="AE79" s="9">
        <f t="shared" si="35"/>
        <v>0</v>
      </c>
      <c r="AF79" s="9">
        <f t="shared" si="35"/>
        <v>0</v>
      </c>
      <c r="AG79" s="9">
        <f t="shared" si="35"/>
        <v>0</v>
      </c>
      <c r="AH79" s="9">
        <f t="shared" si="35"/>
        <v>0</v>
      </c>
      <c r="AI79" s="9">
        <f t="shared" si="35"/>
        <v>0</v>
      </c>
      <c r="AJ79" s="9">
        <f t="shared" si="35"/>
        <v>0</v>
      </c>
      <c r="AK79" s="9">
        <f t="shared" si="27"/>
        <v>0</v>
      </c>
      <c r="AL79" s="9">
        <f t="shared" si="20"/>
        <v>0</v>
      </c>
      <c r="AM79" s="365">
        <f t="shared" si="29"/>
        <v>6149.26</v>
      </c>
      <c r="AN79" s="412">
        <f t="shared" si="33"/>
        <v>6149.26</v>
      </c>
      <c r="AO79" s="412">
        <f t="shared" si="34"/>
        <v>0</v>
      </c>
    </row>
    <row r="80" spans="1:41" ht="14">
      <c r="A80" s="402" t="s">
        <v>662</v>
      </c>
      <c r="B80" s="404">
        <v>15067771</v>
      </c>
      <c r="C80" s="404">
        <v>108</v>
      </c>
      <c r="D80" s="405"/>
      <c r="E80" s="405" t="s">
        <v>921</v>
      </c>
      <c r="F80" s="558">
        <v>10498.3</v>
      </c>
      <c r="G80" s="561">
        <v>10036.49</v>
      </c>
      <c r="H80" s="563">
        <v>11275.48</v>
      </c>
      <c r="I80" s="567">
        <v>14346.46</v>
      </c>
      <c r="J80" s="568">
        <v>8857.4699999999993</v>
      </c>
      <c r="K80" s="572">
        <v>6624.01</v>
      </c>
      <c r="L80" s="576">
        <v>5842.72</v>
      </c>
      <c r="M80" s="583">
        <v>6224.67</v>
      </c>
      <c r="N80" s="585">
        <v>10272</v>
      </c>
      <c r="O80" s="482"/>
      <c r="P80" s="482"/>
      <c r="Q80" s="482"/>
      <c r="R80" s="586">
        <f t="shared" si="30"/>
        <v>83977.599999999991</v>
      </c>
      <c r="S80" s="412">
        <f t="shared" si="31"/>
        <v>61638.21</v>
      </c>
      <c r="T80" s="412">
        <f>+'2023'!R75</f>
        <v>59408.509999999995</v>
      </c>
      <c r="U80" s="579">
        <f t="shared" si="32"/>
        <v>83977.599999999991</v>
      </c>
      <c r="W80" s="9">
        <f t="shared" ref="W80:AJ87" si="36">+IF($A80=W$3,$U80,0)</f>
        <v>0</v>
      </c>
      <c r="X80" s="9">
        <f t="shared" si="36"/>
        <v>0</v>
      </c>
      <c r="Y80" s="9">
        <f t="shared" si="36"/>
        <v>83977.599999999991</v>
      </c>
      <c r="Z80" s="9">
        <f t="shared" si="36"/>
        <v>0</v>
      </c>
      <c r="AA80" s="9">
        <f t="shared" si="36"/>
        <v>0</v>
      </c>
      <c r="AB80" s="9">
        <f t="shared" si="36"/>
        <v>0</v>
      </c>
      <c r="AC80" s="9">
        <f t="shared" si="36"/>
        <v>0</v>
      </c>
      <c r="AD80" s="9">
        <f t="shared" si="36"/>
        <v>0</v>
      </c>
      <c r="AE80" s="9">
        <f t="shared" si="36"/>
        <v>0</v>
      </c>
      <c r="AF80" s="9">
        <f t="shared" si="36"/>
        <v>0</v>
      </c>
      <c r="AG80" s="9">
        <f t="shared" si="36"/>
        <v>0</v>
      </c>
      <c r="AH80" s="9">
        <f t="shared" si="36"/>
        <v>0</v>
      </c>
      <c r="AI80" s="9">
        <f t="shared" si="36"/>
        <v>0</v>
      </c>
      <c r="AJ80" s="9">
        <f t="shared" si="36"/>
        <v>0</v>
      </c>
      <c r="AK80" s="9">
        <f t="shared" si="27"/>
        <v>0</v>
      </c>
      <c r="AL80" s="9">
        <f t="shared" si="20"/>
        <v>0</v>
      </c>
      <c r="AM80" s="365">
        <f t="shared" si="29"/>
        <v>83977.599999999991</v>
      </c>
      <c r="AN80" s="412">
        <f t="shared" si="33"/>
        <v>83977.599999999991</v>
      </c>
      <c r="AO80" s="412">
        <f t="shared" si="34"/>
        <v>0</v>
      </c>
    </row>
    <row r="81" spans="1:41" ht="14">
      <c r="A81" s="402" t="s">
        <v>658</v>
      </c>
      <c r="B81" s="403">
        <v>15051247</v>
      </c>
      <c r="C81" s="403">
        <v>117</v>
      </c>
      <c r="D81" s="402" t="s">
        <v>480</v>
      </c>
      <c r="E81" s="402" t="s">
        <v>480</v>
      </c>
      <c r="F81" s="558">
        <v>12680.53</v>
      </c>
      <c r="G81" s="561">
        <v>11667.19</v>
      </c>
      <c r="H81" s="563">
        <v>12760.76</v>
      </c>
      <c r="I81" s="567">
        <v>14947.25</v>
      </c>
      <c r="J81" s="568">
        <v>10452.629999999999</v>
      </c>
      <c r="K81" s="572">
        <v>9765.42</v>
      </c>
      <c r="L81" s="576">
        <v>9446.3799999999992</v>
      </c>
      <c r="M81" s="583">
        <v>9214.08</v>
      </c>
      <c r="N81" s="585">
        <v>10943.3</v>
      </c>
      <c r="O81" s="482"/>
      <c r="P81" s="482"/>
      <c r="Q81" s="482"/>
      <c r="R81" s="586">
        <f t="shared" si="30"/>
        <v>101877.54000000001</v>
      </c>
      <c r="S81" s="412">
        <f t="shared" si="31"/>
        <v>72273.78</v>
      </c>
      <c r="T81" s="412">
        <f>+'2023'!R76</f>
        <v>76811.7</v>
      </c>
      <c r="U81" s="579">
        <f t="shared" si="32"/>
        <v>101877.54000000001</v>
      </c>
      <c r="W81" s="9">
        <f t="shared" si="36"/>
        <v>0</v>
      </c>
      <c r="X81" s="9">
        <f t="shared" si="36"/>
        <v>0</v>
      </c>
      <c r="Y81" s="9">
        <f t="shared" si="36"/>
        <v>0</v>
      </c>
      <c r="Z81" s="9">
        <f t="shared" si="36"/>
        <v>0</v>
      </c>
      <c r="AA81" s="9">
        <f t="shared" si="36"/>
        <v>0</v>
      </c>
      <c r="AB81" s="9">
        <f t="shared" si="36"/>
        <v>0</v>
      </c>
      <c r="AC81" s="9">
        <f t="shared" si="36"/>
        <v>0</v>
      </c>
      <c r="AD81" s="9">
        <f t="shared" si="36"/>
        <v>0</v>
      </c>
      <c r="AE81" s="9">
        <f t="shared" si="36"/>
        <v>101877.54000000001</v>
      </c>
      <c r="AF81" s="9">
        <f t="shared" si="36"/>
        <v>0</v>
      </c>
      <c r="AG81" s="9">
        <f t="shared" si="36"/>
        <v>0</v>
      </c>
      <c r="AH81" s="9">
        <f t="shared" si="36"/>
        <v>0</v>
      </c>
      <c r="AI81" s="9">
        <f t="shared" si="36"/>
        <v>0</v>
      </c>
      <c r="AJ81" s="9">
        <f t="shared" si="36"/>
        <v>0</v>
      </c>
      <c r="AK81" s="9">
        <f t="shared" si="27"/>
        <v>0</v>
      </c>
      <c r="AL81" s="9">
        <f t="shared" si="20"/>
        <v>0</v>
      </c>
      <c r="AM81" s="365">
        <f t="shared" si="29"/>
        <v>101877.54000000001</v>
      </c>
      <c r="AN81" s="412">
        <f t="shared" si="33"/>
        <v>101877.54000000001</v>
      </c>
      <c r="AO81" s="412">
        <f t="shared" si="34"/>
        <v>0</v>
      </c>
    </row>
    <row r="82" spans="1:41" ht="14">
      <c r="A82" s="402" t="s">
        <v>659</v>
      </c>
      <c r="B82" s="403">
        <v>15060725</v>
      </c>
      <c r="C82" s="403">
        <v>110</v>
      </c>
      <c r="D82" s="402" t="s">
        <v>846</v>
      </c>
      <c r="E82" s="402" t="s">
        <v>1018</v>
      </c>
      <c r="F82" s="558">
        <v>8913.1299999999992</v>
      </c>
      <c r="G82" s="561">
        <v>8746.09</v>
      </c>
      <c r="H82" s="563">
        <v>6038.95</v>
      </c>
      <c r="I82" s="567">
        <v>8980.94</v>
      </c>
      <c r="J82" s="568">
        <v>6825.07</v>
      </c>
      <c r="K82" s="572">
        <v>4967.33</v>
      </c>
      <c r="L82" s="576">
        <v>5186.32</v>
      </c>
      <c r="M82" s="583">
        <v>5389.73</v>
      </c>
      <c r="N82" s="585">
        <v>6011.72</v>
      </c>
      <c r="O82" s="482"/>
      <c r="P82" s="482"/>
      <c r="Q82" s="482"/>
      <c r="R82" s="586">
        <f t="shared" si="30"/>
        <v>61059.28</v>
      </c>
      <c r="S82" s="412">
        <f t="shared" si="31"/>
        <v>44471.51</v>
      </c>
      <c r="T82" s="412">
        <f>+'2023'!R88</f>
        <v>44311.31</v>
      </c>
      <c r="U82" s="579">
        <f t="shared" si="32"/>
        <v>61059.28</v>
      </c>
      <c r="W82" s="9">
        <f t="shared" si="36"/>
        <v>0</v>
      </c>
      <c r="X82" s="9">
        <f t="shared" si="36"/>
        <v>0</v>
      </c>
      <c r="Y82" s="9">
        <f t="shared" si="36"/>
        <v>0</v>
      </c>
      <c r="Z82" s="9">
        <f t="shared" si="36"/>
        <v>0</v>
      </c>
      <c r="AA82" s="9">
        <f t="shared" si="36"/>
        <v>0</v>
      </c>
      <c r="AB82" s="9">
        <f t="shared" si="36"/>
        <v>0</v>
      </c>
      <c r="AC82" s="9">
        <f t="shared" si="36"/>
        <v>0</v>
      </c>
      <c r="AD82" s="9">
        <f t="shared" si="36"/>
        <v>0</v>
      </c>
      <c r="AE82" s="9">
        <f t="shared" si="36"/>
        <v>0</v>
      </c>
      <c r="AF82" s="9">
        <f t="shared" si="36"/>
        <v>0</v>
      </c>
      <c r="AG82" s="9">
        <f t="shared" si="36"/>
        <v>0</v>
      </c>
      <c r="AH82" s="9">
        <f t="shared" si="36"/>
        <v>61059.28</v>
      </c>
      <c r="AI82" s="9">
        <f t="shared" si="36"/>
        <v>0</v>
      </c>
      <c r="AJ82" s="9">
        <f t="shared" si="36"/>
        <v>0</v>
      </c>
      <c r="AK82" s="9">
        <f t="shared" si="27"/>
        <v>0</v>
      </c>
      <c r="AL82" s="9">
        <f t="shared" si="20"/>
        <v>0</v>
      </c>
      <c r="AM82" s="365">
        <f t="shared" si="29"/>
        <v>61059.28</v>
      </c>
      <c r="AN82" s="412">
        <f t="shared" si="33"/>
        <v>61059.28</v>
      </c>
      <c r="AO82" s="412">
        <f t="shared" si="34"/>
        <v>0</v>
      </c>
    </row>
    <row r="83" spans="1:41" ht="14">
      <c r="A83" s="402" t="s">
        <v>530</v>
      </c>
      <c r="B83" s="403">
        <v>15051245</v>
      </c>
      <c r="C83" s="403">
        <v>91</v>
      </c>
      <c r="D83" s="402" t="s">
        <v>630</v>
      </c>
      <c r="E83" s="402" t="s">
        <v>630</v>
      </c>
      <c r="F83" s="558">
        <v>26153.1</v>
      </c>
      <c r="G83" s="561">
        <v>20646.86</v>
      </c>
      <c r="H83" s="563">
        <v>21492.55</v>
      </c>
      <c r="I83" s="567">
        <v>29431.33</v>
      </c>
      <c r="J83" s="568">
        <v>21179.55</v>
      </c>
      <c r="K83" s="572">
        <v>17447.77</v>
      </c>
      <c r="L83" s="576">
        <v>16269.83</v>
      </c>
      <c r="M83" s="583">
        <v>14604.86</v>
      </c>
      <c r="N83" s="585">
        <v>21834.65</v>
      </c>
      <c r="O83" s="482"/>
      <c r="P83" s="482"/>
      <c r="Q83" s="482"/>
      <c r="R83" s="586">
        <f t="shared" si="30"/>
        <v>189060.49999999997</v>
      </c>
      <c r="S83" s="412">
        <f t="shared" si="31"/>
        <v>136351.16</v>
      </c>
      <c r="T83" s="412">
        <f>+'2023'!R77</f>
        <v>135573.74</v>
      </c>
      <c r="U83" s="579">
        <f t="shared" si="32"/>
        <v>189060.49999999997</v>
      </c>
      <c r="V83" s="553">
        <f>+S83/8.5*2</f>
        <v>32082.625882352942</v>
      </c>
      <c r="W83" s="9">
        <f t="shared" si="36"/>
        <v>0</v>
      </c>
      <c r="X83" s="9">
        <f t="shared" si="36"/>
        <v>0</v>
      </c>
      <c r="Y83" s="9">
        <f t="shared" si="36"/>
        <v>0</v>
      </c>
      <c r="Z83" s="9">
        <f t="shared" si="36"/>
        <v>0</v>
      </c>
      <c r="AA83" s="9">
        <f t="shared" si="36"/>
        <v>0</v>
      </c>
      <c r="AB83" s="9">
        <f t="shared" si="36"/>
        <v>189060.49999999997</v>
      </c>
      <c r="AC83" s="9">
        <f t="shared" si="36"/>
        <v>0</v>
      </c>
      <c r="AD83" s="9">
        <f t="shared" si="36"/>
        <v>0</v>
      </c>
      <c r="AE83" s="9">
        <f t="shared" si="36"/>
        <v>0</v>
      </c>
      <c r="AF83" s="9">
        <f t="shared" si="36"/>
        <v>0</v>
      </c>
      <c r="AG83" s="9">
        <f t="shared" si="36"/>
        <v>0</v>
      </c>
      <c r="AH83" s="9">
        <f t="shared" si="36"/>
        <v>0</v>
      </c>
      <c r="AI83" s="9">
        <f t="shared" si="36"/>
        <v>0</v>
      </c>
      <c r="AJ83" s="9">
        <f t="shared" si="36"/>
        <v>0</v>
      </c>
      <c r="AK83" s="9">
        <f t="shared" si="27"/>
        <v>0</v>
      </c>
      <c r="AL83" s="9">
        <f t="shared" si="20"/>
        <v>0</v>
      </c>
      <c r="AM83" s="365">
        <f t="shared" si="29"/>
        <v>189060.49999999997</v>
      </c>
      <c r="AN83" s="412">
        <f t="shared" si="33"/>
        <v>189060.49999999997</v>
      </c>
      <c r="AO83" s="412">
        <f t="shared" si="34"/>
        <v>0</v>
      </c>
    </row>
    <row r="84" spans="1:41" ht="14">
      <c r="A84" s="402" t="s">
        <v>535</v>
      </c>
      <c r="B84" s="403">
        <v>15072632</v>
      </c>
      <c r="C84" s="403">
        <v>80</v>
      </c>
      <c r="D84" s="402" t="s">
        <v>631</v>
      </c>
      <c r="E84" s="402" t="s">
        <v>975</v>
      </c>
      <c r="F84" s="558">
        <v>19608.64</v>
      </c>
      <c r="G84" s="561">
        <v>21449.9</v>
      </c>
      <c r="H84" s="563">
        <v>21134.34</v>
      </c>
      <c r="I84" s="567">
        <v>24542.6</v>
      </c>
      <c r="J84" s="568">
        <v>16711.96</v>
      </c>
      <c r="K84" s="572">
        <v>8552.74</v>
      </c>
      <c r="L84" s="576">
        <v>11932.41</v>
      </c>
      <c r="M84" s="583">
        <v>10782.09</v>
      </c>
      <c r="N84" s="585">
        <v>16616.25</v>
      </c>
      <c r="O84" s="482"/>
      <c r="P84" s="482"/>
      <c r="Q84" s="482"/>
      <c r="R84" s="586">
        <f t="shared" si="30"/>
        <v>151330.93000000002</v>
      </c>
      <c r="S84" s="412">
        <f t="shared" si="31"/>
        <v>112000.18000000001</v>
      </c>
      <c r="T84" s="412">
        <f>+'2023'!R78</f>
        <v>100751.48</v>
      </c>
      <c r="U84" s="579">
        <f t="shared" si="32"/>
        <v>151330.93000000002</v>
      </c>
      <c r="W84" s="9">
        <f t="shared" si="36"/>
        <v>0</v>
      </c>
      <c r="X84" s="9">
        <f t="shared" si="36"/>
        <v>0</v>
      </c>
      <c r="Y84" s="9">
        <f t="shared" si="36"/>
        <v>0</v>
      </c>
      <c r="Z84" s="9">
        <f t="shared" si="36"/>
        <v>0</v>
      </c>
      <c r="AA84" s="9">
        <f t="shared" si="36"/>
        <v>0</v>
      </c>
      <c r="AB84" s="9">
        <f t="shared" si="36"/>
        <v>0</v>
      </c>
      <c r="AC84" s="9">
        <f t="shared" si="36"/>
        <v>0</v>
      </c>
      <c r="AD84" s="9">
        <f t="shared" si="36"/>
        <v>151330.93000000002</v>
      </c>
      <c r="AE84" s="9">
        <f t="shared" si="36"/>
        <v>0</v>
      </c>
      <c r="AF84" s="9">
        <f t="shared" si="36"/>
        <v>0</v>
      </c>
      <c r="AG84" s="9">
        <f t="shared" si="36"/>
        <v>0</v>
      </c>
      <c r="AH84" s="9">
        <f t="shared" si="36"/>
        <v>0</v>
      </c>
      <c r="AI84" s="9">
        <f t="shared" si="36"/>
        <v>0</v>
      </c>
      <c r="AJ84" s="9">
        <f t="shared" si="36"/>
        <v>0</v>
      </c>
      <c r="AK84" s="9">
        <f t="shared" si="27"/>
        <v>0</v>
      </c>
      <c r="AL84" s="9">
        <f t="shared" ref="AL84:AL104" si="37">+IF($A84=AL$3,$U84,0)</f>
        <v>0</v>
      </c>
      <c r="AM84" s="365">
        <f t="shared" si="29"/>
        <v>151330.93000000002</v>
      </c>
      <c r="AN84" s="412">
        <f t="shared" si="33"/>
        <v>151330.93000000002</v>
      </c>
      <c r="AO84" s="412">
        <f t="shared" si="34"/>
        <v>0</v>
      </c>
    </row>
    <row r="85" spans="1:41" ht="14">
      <c r="A85" s="402" t="s">
        <v>537</v>
      </c>
      <c r="B85" s="403">
        <v>15036831</v>
      </c>
      <c r="C85" s="403">
        <v>104</v>
      </c>
      <c r="D85" s="402" t="s">
        <v>364</v>
      </c>
      <c r="E85" s="402" t="s">
        <v>364</v>
      </c>
      <c r="F85" s="558">
        <v>28484.12</v>
      </c>
      <c r="G85" s="561">
        <v>21431.71</v>
      </c>
      <c r="H85" s="563">
        <v>30045.599999999999</v>
      </c>
      <c r="I85" s="567">
        <v>36940.769999999997</v>
      </c>
      <c r="J85" s="568">
        <v>25136.12</v>
      </c>
      <c r="K85" s="572">
        <v>19069.009999999998</v>
      </c>
      <c r="L85" s="576">
        <v>19917.11</v>
      </c>
      <c r="M85" s="583">
        <v>20558.45</v>
      </c>
      <c r="N85" s="585">
        <v>23075.41</v>
      </c>
      <c r="O85" s="482"/>
      <c r="P85" s="482"/>
      <c r="Q85" s="482"/>
      <c r="R85" s="586">
        <f t="shared" si="30"/>
        <v>224658.30000000002</v>
      </c>
      <c r="S85" s="412">
        <f t="shared" si="31"/>
        <v>161107.32999999999</v>
      </c>
      <c r="T85" s="412">
        <f>+'2023'!R79</f>
        <v>154875.34</v>
      </c>
      <c r="U85" s="579">
        <f t="shared" si="32"/>
        <v>224658.30000000002</v>
      </c>
      <c r="W85" s="9">
        <f t="shared" si="36"/>
        <v>0</v>
      </c>
      <c r="X85" s="9">
        <f t="shared" si="36"/>
        <v>224658.30000000002</v>
      </c>
      <c r="Y85" s="9">
        <f t="shared" si="36"/>
        <v>0</v>
      </c>
      <c r="Z85" s="9">
        <f t="shared" si="36"/>
        <v>0</v>
      </c>
      <c r="AA85" s="9">
        <f t="shared" si="36"/>
        <v>0</v>
      </c>
      <c r="AB85" s="9">
        <f t="shared" si="36"/>
        <v>0</v>
      </c>
      <c r="AC85" s="9">
        <f t="shared" si="36"/>
        <v>0</v>
      </c>
      <c r="AD85" s="9">
        <f t="shared" si="36"/>
        <v>0</v>
      </c>
      <c r="AE85" s="9">
        <f t="shared" si="36"/>
        <v>0</v>
      </c>
      <c r="AF85" s="9">
        <f t="shared" si="36"/>
        <v>0</v>
      </c>
      <c r="AG85" s="9">
        <f t="shared" si="36"/>
        <v>0</v>
      </c>
      <c r="AH85" s="9">
        <f t="shared" si="36"/>
        <v>0</v>
      </c>
      <c r="AI85" s="9">
        <f t="shared" si="36"/>
        <v>0</v>
      </c>
      <c r="AJ85" s="9">
        <f t="shared" si="36"/>
        <v>0</v>
      </c>
      <c r="AK85" s="9">
        <f t="shared" si="27"/>
        <v>0</v>
      </c>
      <c r="AL85" s="9">
        <f t="shared" si="37"/>
        <v>0</v>
      </c>
      <c r="AM85" s="365">
        <f t="shared" si="29"/>
        <v>224658.30000000002</v>
      </c>
      <c r="AN85" s="412">
        <f t="shared" si="33"/>
        <v>224658.30000000002</v>
      </c>
      <c r="AO85" s="412">
        <f t="shared" si="34"/>
        <v>0</v>
      </c>
    </row>
    <row r="86" spans="1:41" ht="14">
      <c r="A86" s="402" t="s">
        <v>1043</v>
      </c>
      <c r="B86" s="403">
        <v>15080924</v>
      </c>
      <c r="C86" s="403"/>
      <c r="D86" s="402"/>
      <c r="E86" s="402" t="s">
        <v>1020</v>
      </c>
      <c r="F86" s="558">
        <v>2419.7199999999998</v>
      </c>
      <c r="G86" s="561">
        <v>678.59</v>
      </c>
      <c r="H86" s="563">
        <v>2867.27</v>
      </c>
      <c r="I86" s="567">
        <v>2138.8000000000002</v>
      </c>
      <c r="J86" s="568">
        <v>1505.2</v>
      </c>
      <c r="K86" s="572">
        <v>1091.75</v>
      </c>
      <c r="L86" s="576">
        <v>1200.82</v>
      </c>
      <c r="M86" s="583">
        <v>1562.02</v>
      </c>
      <c r="N86" s="585">
        <v>2617.4699999999998</v>
      </c>
      <c r="O86" s="482"/>
      <c r="P86" s="482"/>
      <c r="Q86" s="482"/>
      <c r="R86" s="586">
        <f t="shared" si="30"/>
        <v>16081.64</v>
      </c>
      <c r="S86" s="412">
        <f t="shared" si="31"/>
        <v>10701.33</v>
      </c>
      <c r="T86" s="412">
        <f>+'2023'!R80</f>
        <v>3745.04</v>
      </c>
      <c r="U86" s="579">
        <f t="shared" si="32"/>
        <v>16081.64</v>
      </c>
      <c r="W86" s="9">
        <f t="shared" si="36"/>
        <v>0</v>
      </c>
      <c r="X86" s="9">
        <f t="shared" si="36"/>
        <v>0</v>
      </c>
      <c r="Y86" s="9">
        <f t="shared" si="36"/>
        <v>0</v>
      </c>
      <c r="Z86" s="9">
        <f t="shared" si="36"/>
        <v>0</v>
      </c>
      <c r="AA86" s="9">
        <f t="shared" si="36"/>
        <v>0</v>
      </c>
      <c r="AB86" s="9">
        <f t="shared" si="36"/>
        <v>0</v>
      </c>
      <c r="AC86" s="9">
        <f t="shared" si="36"/>
        <v>0</v>
      </c>
      <c r="AD86" s="9">
        <f t="shared" si="36"/>
        <v>0</v>
      </c>
      <c r="AE86" s="9">
        <f t="shared" si="36"/>
        <v>0</v>
      </c>
      <c r="AF86" s="9">
        <f t="shared" si="36"/>
        <v>0</v>
      </c>
      <c r="AG86" s="9">
        <f t="shared" si="36"/>
        <v>0</v>
      </c>
      <c r="AH86" s="9">
        <f t="shared" si="36"/>
        <v>0</v>
      </c>
      <c r="AI86" s="9">
        <f t="shared" si="36"/>
        <v>0</v>
      </c>
      <c r="AJ86" s="9">
        <f t="shared" si="36"/>
        <v>0</v>
      </c>
      <c r="AK86" s="9">
        <f t="shared" si="27"/>
        <v>16081.64</v>
      </c>
      <c r="AL86" s="9">
        <f t="shared" si="37"/>
        <v>0</v>
      </c>
      <c r="AM86" s="365">
        <f t="shared" si="29"/>
        <v>16081.64</v>
      </c>
      <c r="AN86" s="412">
        <f t="shared" si="33"/>
        <v>16081.64</v>
      </c>
      <c r="AO86" s="412">
        <f t="shared" si="34"/>
        <v>0</v>
      </c>
    </row>
    <row r="87" spans="1:41" ht="14">
      <c r="A87" s="402" t="s">
        <v>530</v>
      </c>
      <c r="B87" s="404">
        <v>15059439</v>
      </c>
      <c r="C87" s="404">
        <v>105</v>
      </c>
      <c r="D87" s="405" t="s">
        <v>843</v>
      </c>
      <c r="E87" s="405" t="s">
        <v>280</v>
      </c>
      <c r="F87" s="558">
        <v>10793.87</v>
      </c>
      <c r="G87" s="561">
        <v>7774.86</v>
      </c>
      <c r="H87" s="563">
        <v>8607.0400000000009</v>
      </c>
      <c r="I87" s="567">
        <v>10576.62</v>
      </c>
      <c r="J87" s="572">
        <v>6799.23</v>
      </c>
      <c r="K87" s="572">
        <v>4118.45</v>
      </c>
      <c r="L87" s="576">
        <v>3097.24</v>
      </c>
      <c r="M87" s="583">
        <v>3618</v>
      </c>
      <c r="N87" s="585">
        <v>5393.99</v>
      </c>
      <c r="O87" s="482"/>
      <c r="P87" s="482"/>
      <c r="Q87" s="482"/>
      <c r="R87" s="586">
        <f t="shared" si="30"/>
        <v>60779.299999999988</v>
      </c>
      <c r="S87" s="412">
        <f t="shared" si="31"/>
        <v>48670.069999999992</v>
      </c>
      <c r="T87" s="412">
        <f>+'2023'!R81</f>
        <v>50389.25</v>
      </c>
      <c r="U87" s="579">
        <f t="shared" si="32"/>
        <v>60779.299999999988</v>
      </c>
      <c r="W87" s="9">
        <f t="shared" si="36"/>
        <v>0</v>
      </c>
      <c r="X87" s="9">
        <f t="shared" si="36"/>
        <v>0</v>
      </c>
      <c r="Y87" s="9">
        <f t="shared" si="36"/>
        <v>0</v>
      </c>
      <c r="Z87" s="9">
        <f t="shared" si="36"/>
        <v>0</v>
      </c>
      <c r="AA87" s="9">
        <f t="shared" si="36"/>
        <v>0</v>
      </c>
      <c r="AB87" s="9">
        <f t="shared" si="36"/>
        <v>60779.299999999988</v>
      </c>
      <c r="AC87" s="9">
        <f t="shared" si="36"/>
        <v>0</v>
      </c>
      <c r="AD87" s="9">
        <f t="shared" si="36"/>
        <v>0</v>
      </c>
      <c r="AE87" s="9">
        <f t="shared" si="36"/>
        <v>0</v>
      </c>
      <c r="AF87" s="9">
        <f t="shared" si="36"/>
        <v>0</v>
      </c>
      <c r="AG87" s="9">
        <f t="shared" si="36"/>
        <v>0</v>
      </c>
      <c r="AH87" s="9">
        <f t="shared" si="36"/>
        <v>0</v>
      </c>
      <c r="AI87" s="9">
        <f t="shared" si="36"/>
        <v>0</v>
      </c>
      <c r="AJ87" s="9">
        <f t="shared" si="36"/>
        <v>0</v>
      </c>
      <c r="AK87" s="9">
        <f t="shared" si="27"/>
        <v>0</v>
      </c>
      <c r="AL87" s="9">
        <f t="shared" si="37"/>
        <v>0</v>
      </c>
      <c r="AM87" s="365">
        <f t="shared" si="29"/>
        <v>60779.299999999988</v>
      </c>
      <c r="AN87" s="412">
        <f t="shared" si="33"/>
        <v>60779.299999999988</v>
      </c>
      <c r="AO87" s="412">
        <f t="shared" si="34"/>
        <v>0</v>
      </c>
    </row>
    <row r="88" spans="1:41" ht="14">
      <c r="A88" s="402" t="s">
        <v>661</v>
      </c>
      <c r="B88" s="403">
        <v>15062798</v>
      </c>
      <c r="C88" s="403">
        <v>29</v>
      </c>
      <c r="D88" s="402" t="s">
        <v>281</v>
      </c>
      <c r="E88" s="402" t="s">
        <v>281</v>
      </c>
      <c r="F88" s="482"/>
      <c r="G88" s="482"/>
      <c r="H88" s="563">
        <v>2437.38</v>
      </c>
      <c r="I88" s="567">
        <v>2907.43</v>
      </c>
      <c r="J88" s="568">
        <v>3214.21</v>
      </c>
      <c r="K88" s="572">
        <v>3856.8</v>
      </c>
      <c r="L88" s="576">
        <v>3533.56</v>
      </c>
      <c r="M88" s="583">
        <v>3389.03</v>
      </c>
      <c r="N88" s="585">
        <v>3630.41</v>
      </c>
      <c r="O88" s="482"/>
      <c r="P88" s="482"/>
      <c r="Q88" s="482"/>
      <c r="R88" s="586">
        <f t="shared" si="30"/>
        <v>22968.82</v>
      </c>
      <c r="S88" s="412">
        <f t="shared" si="31"/>
        <v>12415.82</v>
      </c>
      <c r="T88" s="412">
        <f>+'2023'!R82</f>
        <v>3942.8199999999997</v>
      </c>
      <c r="U88" s="579">
        <f t="shared" si="32"/>
        <v>22968.82</v>
      </c>
      <c r="W88" s="9">
        <f t="shared" ref="W88:AB88" si="38">+IF($A88=W$3,$U88,0)</f>
        <v>0</v>
      </c>
      <c r="X88" s="9">
        <f t="shared" si="38"/>
        <v>0</v>
      </c>
      <c r="Y88" s="9">
        <f t="shared" si="38"/>
        <v>0</v>
      </c>
      <c r="Z88" s="9">
        <f t="shared" si="38"/>
        <v>0</v>
      </c>
      <c r="AA88" s="9">
        <f t="shared" si="38"/>
        <v>0</v>
      </c>
      <c r="AB88" s="9">
        <f t="shared" si="38"/>
        <v>0</v>
      </c>
      <c r="AC88" s="9">
        <f t="shared" ref="W88:AK104" si="39">+IF($A88=AC$3,$U88,0)</f>
        <v>0</v>
      </c>
      <c r="AD88" s="9">
        <f t="shared" si="39"/>
        <v>0</v>
      </c>
      <c r="AE88" s="9">
        <f t="shared" si="39"/>
        <v>0</v>
      </c>
      <c r="AF88" s="9">
        <f t="shared" si="39"/>
        <v>0</v>
      </c>
      <c r="AG88" s="9">
        <f t="shared" si="39"/>
        <v>0</v>
      </c>
      <c r="AH88" s="9">
        <f t="shared" si="39"/>
        <v>0</v>
      </c>
      <c r="AI88" s="9">
        <f t="shared" si="39"/>
        <v>22968.82</v>
      </c>
      <c r="AJ88" s="9">
        <f t="shared" si="39"/>
        <v>0</v>
      </c>
      <c r="AK88" s="9">
        <f t="shared" si="39"/>
        <v>0</v>
      </c>
      <c r="AL88" s="9">
        <f t="shared" si="37"/>
        <v>0</v>
      </c>
      <c r="AM88" s="365">
        <f t="shared" si="29"/>
        <v>22968.82</v>
      </c>
      <c r="AN88" s="412">
        <f t="shared" si="33"/>
        <v>22968.82</v>
      </c>
      <c r="AO88" s="412">
        <f t="shared" si="34"/>
        <v>0</v>
      </c>
    </row>
    <row r="89" spans="1:41" ht="14">
      <c r="A89" s="402" t="s">
        <v>660</v>
      </c>
      <c r="B89" s="403">
        <v>15051246</v>
      </c>
      <c r="C89" s="403">
        <v>108</v>
      </c>
      <c r="D89" s="402" t="s">
        <v>91</v>
      </c>
      <c r="E89" s="402" t="s">
        <v>91</v>
      </c>
      <c r="F89" s="558">
        <v>26958.720000000001</v>
      </c>
      <c r="G89" s="561">
        <v>27706.45</v>
      </c>
      <c r="H89" s="563">
        <v>35038.53</v>
      </c>
      <c r="I89" s="567">
        <v>41934.07</v>
      </c>
      <c r="J89" s="568">
        <v>24898.2</v>
      </c>
      <c r="K89" s="572">
        <v>15555.41</v>
      </c>
      <c r="L89" s="576">
        <v>15981.54</v>
      </c>
      <c r="M89" s="583">
        <v>19437.37</v>
      </c>
      <c r="N89" s="585">
        <v>30456.54</v>
      </c>
      <c r="O89" s="482"/>
      <c r="P89" s="482"/>
      <c r="Q89" s="482"/>
      <c r="R89" s="586">
        <f t="shared" si="30"/>
        <v>237966.83000000002</v>
      </c>
      <c r="S89" s="412">
        <f t="shared" si="31"/>
        <v>172091.38</v>
      </c>
      <c r="T89" s="412">
        <f>+'2023'!R83</f>
        <v>163228.6</v>
      </c>
      <c r="U89" s="579">
        <f t="shared" si="32"/>
        <v>237966.83000000002</v>
      </c>
      <c r="W89" s="9">
        <f t="shared" si="39"/>
        <v>0</v>
      </c>
      <c r="X89" s="9">
        <f t="shared" si="39"/>
        <v>0</v>
      </c>
      <c r="Y89" s="9">
        <f t="shared" si="39"/>
        <v>0</v>
      </c>
      <c r="Z89" s="9">
        <f t="shared" si="39"/>
        <v>0</v>
      </c>
      <c r="AA89" s="9">
        <f t="shared" si="39"/>
        <v>0</v>
      </c>
      <c r="AB89" s="9">
        <f t="shared" si="39"/>
        <v>0</v>
      </c>
      <c r="AC89" s="9">
        <f t="shared" si="39"/>
        <v>0</v>
      </c>
      <c r="AD89" s="9">
        <f t="shared" si="39"/>
        <v>0</v>
      </c>
      <c r="AE89" s="9">
        <f t="shared" si="39"/>
        <v>0</v>
      </c>
      <c r="AF89" s="9">
        <f t="shared" si="39"/>
        <v>0</v>
      </c>
      <c r="AG89" s="9">
        <f t="shared" si="39"/>
        <v>0</v>
      </c>
      <c r="AH89" s="9">
        <f t="shared" si="39"/>
        <v>0</v>
      </c>
      <c r="AI89" s="9">
        <f t="shared" si="39"/>
        <v>237966.83000000002</v>
      </c>
      <c r="AJ89" s="9">
        <f t="shared" si="39"/>
        <v>0</v>
      </c>
      <c r="AK89" s="9">
        <f t="shared" si="39"/>
        <v>0</v>
      </c>
      <c r="AL89" s="9">
        <f t="shared" si="37"/>
        <v>0</v>
      </c>
      <c r="AM89" s="365">
        <f t="shared" si="29"/>
        <v>237966.83000000002</v>
      </c>
      <c r="AN89" s="412">
        <f t="shared" si="33"/>
        <v>237966.83000000002</v>
      </c>
      <c r="AO89" s="412">
        <f t="shared" si="34"/>
        <v>0</v>
      </c>
    </row>
    <row r="90" spans="1:41" ht="14">
      <c r="A90" s="402" t="s">
        <v>704</v>
      </c>
      <c r="B90" s="403">
        <v>15032636</v>
      </c>
      <c r="C90" s="403">
        <v>107</v>
      </c>
      <c r="D90" s="402" t="s">
        <v>624</v>
      </c>
      <c r="E90" s="402" t="s">
        <v>574</v>
      </c>
      <c r="F90" s="558">
        <v>23291.223000000002</v>
      </c>
      <c r="G90" s="561">
        <v>19464.23</v>
      </c>
      <c r="H90" s="563">
        <v>21527.73</v>
      </c>
      <c r="I90" s="567">
        <v>27827.360000000001</v>
      </c>
      <c r="J90" s="568">
        <v>17369.84</v>
      </c>
      <c r="K90" s="572">
        <v>14749.52</v>
      </c>
      <c r="L90" s="576">
        <v>15624.38</v>
      </c>
      <c r="M90" s="583">
        <v>15315.36</v>
      </c>
      <c r="N90" s="585">
        <v>21449.22</v>
      </c>
      <c r="O90" s="482"/>
      <c r="P90" s="482"/>
      <c r="Q90" s="482"/>
      <c r="R90" s="586">
        <f t="shared" si="30"/>
        <v>176618.86299999998</v>
      </c>
      <c r="S90" s="412">
        <f t="shared" si="31"/>
        <v>124229.90300000001</v>
      </c>
      <c r="T90" s="412">
        <f>+'2023'!R84</f>
        <v>125201.66999999998</v>
      </c>
      <c r="U90" s="579">
        <f t="shared" si="32"/>
        <v>176618.86299999998</v>
      </c>
      <c r="W90" s="9">
        <f t="shared" si="39"/>
        <v>0</v>
      </c>
      <c r="X90" s="9">
        <f t="shared" si="39"/>
        <v>0</v>
      </c>
      <c r="Y90" s="9">
        <f t="shared" si="39"/>
        <v>0</v>
      </c>
      <c r="Z90" s="9">
        <f t="shared" si="39"/>
        <v>0</v>
      </c>
      <c r="AA90" s="9">
        <f t="shared" si="39"/>
        <v>0</v>
      </c>
      <c r="AB90" s="9">
        <f t="shared" si="39"/>
        <v>0</v>
      </c>
      <c r="AC90" s="9">
        <f t="shared" si="39"/>
        <v>0</v>
      </c>
      <c r="AD90" s="9">
        <f t="shared" si="39"/>
        <v>0</v>
      </c>
      <c r="AE90" s="9">
        <f t="shared" si="39"/>
        <v>0</v>
      </c>
      <c r="AF90" s="9">
        <f t="shared" si="39"/>
        <v>0</v>
      </c>
      <c r="AG90" s="9">
        <f t="shared" si="39"/>
        <v>0</v>
      </c>
      <c r="AH90" s="9">
        <f t="shared" si="39"/>
        <v>0</v>
      </c>
      <c r="AI90" s="9">
        <f t="shared" si="39"/>
        <v>0</v>
      </c>
      <c r="AJ90" s="9">
        <f t="shared" si="39"/>
        <v>0</v>
      </c>
      <c r="AK90" s="9">
        <f t="shared" si="39"/>
        <v>0</v>
      </c>
      <c r="AL90" s="9">
        <f t="shared" si="37"/>
        <v>176618.86299999998</v>
      </c>
      <c r="AM90" s="365">
        <f t="shared" si="29"/>
        <v>176618.86299999998</v>
      </c>
      <c r="AN90" s="412">
        <f t="shared" si="33"/>
        <v>176618.86299999998</v>
      </c>
      <c r="AO90" s="412">
        <f t="shared" si="34"/>
        <v>0</v>
      </c>
    </row>
    <row r="91" spans="1:41" ht="14">
      <c r="A91" s="402" t="s">
        <v>658</v>
      </c>
      <c r="B91" s="403">
        <v>15078169</v>
      </c>
      <c r="C91" s="403">
        <v>117</v>
      </c>
      <c r="D91" s="402" t="s">
        <v>574</v>
      </c>
      <c r="E91" s="402" t="s">
        <v>574</v>
      </c>
      <c r="F91" s="482"/>
      <c r="G91" s="561">
        <v>21650.42</v>
      </c>
      <c r="H91" s="563">
        <v>24849.74</v>
      </c>
      <c r="I91" s="567">
        <v>32160.880000000001</v>
      </c>
      <c r="J91" s="568">
        <v>21163.1</v>
      </c>
      <c r="K91" s="572">
        <v>15263.57</v>
      </c>
      <c r="L91" s="576">
        <v>12217.91</v>
      </c>
      <c r="M91" s="583">
        <v>18104.3</v>
      </c>
      <c r="N91" s="585">
        <v>21023.03</v>
      </c>
      <c r="O91" s="482"/>
      <c r="P91" s="482"/>
      <c r="Q91" s="482"/>
      <c r="R91" s="586">
        <f t="shared" si="30"/>
        <v>166432.95000000001</v>
      </c>
      <c r="S91" s="412">
        <f t="shared" si="31"/>
        <v>115087.71000000002</v>
      </c>
      <c r="T91" s="412">
        <f>+'2023'!R85</f>
        <v>153718.57999999999</v>
      </c>
      <c r="U91" s="579">
        <f t="shared" si="32"/>
        <v>166432.95000000001</v>
      </c>
      <c r="W91" s="9">
        <f t="shared" si="39"/>
        <v>0</v>
      </c>
      <c r="X91" s="9">
        <f t="shared" si="39"/>
        <v>0</v>
      </c>
      <c r="Y91" s="9">
        <f t="shared" si="39"/>
        <v>0</v>
      </c>
      <c r="Z91" s="9">
        <f t="shared" si="39"/>
        <v>0</v>
      </c>
      <c r="AA91" s="9">
        <f t="shared" si="39"/>
        <v>0</v>
      </c>
      <c r="AB91" s="9">
        <f t="shared" si="39"/>
        <v>0</v>
      </c>
      <c r="AC91" s="9">
        <f t="shared" si="39"/>
        <v>0</v>
      </c>
      <c r="AD91" s="9">
        <f t="shared" si="39"/>
        <v>0</v>
      </c>
      <c r="AE91" s="9">
        <f t="shared" si="39"/>
        <v>166432.95000000001</v>
      </c>
      <c r="AF91" s="9">
        <f t="shared" si="39"/>
        <v>0</v>
      </c>
      <c r="AG91" s="9">
        <f t="shared" si="39"/>
        <v>0</v>
      </c>
      <c r="AH91" s="9">
        <f t="shared" si="39"/>
        <v>0</v>
      </c>
      <c r="AI91" s="9">
        <f t="shared" si="39"/>
        <v>0</v>
      </c>
      <c r="AJ91" s="9">
        <f t="shared" si="39"/>
        <v>0</v>
      </c>
      <c r="AK91" s="9">
        <f t="shared" si="39"/>
        <v>0</v>
      </c>
      <c r="AL91" s="9">
        <f t="shared" si="37"/>
        <v>0</v>
      </c>
      <c r="AM91" s="365">
        <f t="shared" si="29"/>
        <v>166432.95000000001</v>
      </c>
      <c r="AN91" s="412">
        <f t="shared" si="33"/>
        <v>166432.95000000001</v>
      </c>
      <c r="AO91" s="412">
        <f t="shared" si="34"/>
        <v>0</v>
      </c>
    </row>
    <row r="92" spans="1:41" ht="14">
      <c r="A92" s="402" t="s">
        <v>705</v>
      </c>
      <c r="B92" s="403">
        <v>7004900</v>
      </c>
      <c r="C92" s="403">
        <v>25</v>
      </c>
      <c r="D92" s="402" t="s">
        <v>393</v>
      </c>
      <c r="E92" s="402" t="s">
        <v>393</v>
      </c>
      <c r="F92" s="558">
        <v>350.63</v>
      </c>
      <c r="G92" s="561">
        <v>380.8</v>
      </c>
      <c r="H92" s="563">
        <v>363.38</v>
      </c>
      <c r="I92" s="567">
        <v>391.85</v>
      </c>
      <c r="J92" s="572">
        <v>441.15</v>
      </c>
      <c r="K92" s="572">
        <v>389.73</v>
      </c>
      <c r="L92" s="576">
        <v>449.65</v>
      </c>
      <c r="M92" s="583">
        <v>456.45</v>
      </c>
      <c r="N92" s="585">
        <v>477.28</v>
      </c>
      <c r="O92" s="482"/>
      <c r="P92" s="482"/>
      <c r="Q92" s="482"/>
      <c r="R92" s="586">
        <f t="shared" si="30"/>
        <v>3700.92</v>
      </c>
      <c r="S92" s="412">
        <f t="shared" si="31"/>
        <v>2317.54</v>
      </c>
      <c r="T92" s="412">
        <f>+'2023'!R86</f>
        <v>2278.85</v>
      </c>
      <c r="U92" s="579">
        <f t="shared" si="32"/>
        <v>3700.92</v>
      </c>
      <c r="W92" s="9">
        <f t="shared" si="39"/>
        <v>0</v>
      </c>
      <c r="X92" s="9">
        <f t="shared" si="39"/>
        <v>0</v>
      </c>
      <c r="Y92" s="9">
        <f t="shared" si="39"/>
        <v>0</v>
      </c>
      <c r="Z92" s="9">
        <f t="shared" si="39"/>
        <v>0</v>
      </c>
      <c r="AA92" s="9">
        <f t="shared" si="39"/>
        <v>0</v>
      </c>
      <c r="AB92" s="9">
        <f t="shared" si="39"/>
        <v>0</v>
      </c>
      <c r="AC92" s="9">
        <f t="shared" si="39"/>
        <v>0</v>
      </c>
      <c r="AD92" s="9">
        <f t="shared" si="39"/>
        <v>0</v>
      </c>
      <c r="AE92" s="9">
        <f t="shared" si="39"/>
        <v>0</v>
      </c>
      <c r="AF92" s="9">
        <f t="shared" si="39"/>
        <v>0</v>
      </c>
      <c r="AG92" s="9">
        <f t="shared" si="39"/>
        <v>0</v>
      </c>
      <c r="AH92" s="9">
        <f t="shared" si="39"/>
        <v>0</v>
      </c>
      <c r="AI92" s="9">
        <f t="shared" si="39"/>
        <v>0</v>
      </c>
      <c r="AJ92" s="9">
        <f t="shared" si="39"/>
        <v>0</v>
      </c>
      <c r="AK92" s="9">
        <f t="shared" si="39"/>
        <v>0</v>
      </c>
      <c r="AL92" s="9">
        <f t="shared" si="37"/>
        <v>3700.92</v>
      </c>
      <c r="AM92" s="365">
        <f t="shared" si="29"/>
        <v>3700.92</v>
      </c>
      <c r="AN92" s="412">
        <f t="shared" si="33"/>
        <v>3700.92</v>
      </c>
      <c r="AO92" s="412">
        <f t="shared" si="34"/>
        <v>0</v>
      </c>
    </row>
    <row r="93" spans="1:41" ht="14">
      <c r="A93" s="402" t="s">
        <v>659</v>
      </c>
      <c r="B93" s="403">
        <v>15054341</v>
      </c>
      <c r="C93" s="403">
        <v>62</v>
      </c>
      <c r="D93" s="402" t="s">
        <v>669</v>
      </c>
      <c r="E93" s="402" t="s">
        <v>502</v>
      </c>
      <c r="F93" s="558">
        <v>4895.63</v>
      </c>
      <c r="G93" s="561">
        <v>4139.13</v>
      </c>
      <c r="H93" s="563">
        <v>4586.9399999999996</v>
      </c>
      <c r="I93" s="567">
        <v>5686.08</v>
      </c>
      <c r="J93" s="568">
        <v>3581.74</v>
      </c>
      <c r="K93" s="572">
        <v>2455.37</v>
      </c>
      <c r="L93" s="576">
        <v>2490.08</v>
      </c>
      <c r="M93" s="583">
        <v>2874.05</v>
      </c>
      <c r="N93" s="585">
        <v>3761.06</v>
      </c>
      <c r="O93" s="482"/>
      <c r="P93" s="482"/>
      <c r="Q93" s="482"/>
      <c r="R93" s="586">
        <f t="shared" si="30"/>
        <v>34470.079999999994</v>
      </c>
      <c r="S93" s="412">
        <f t="shared" si="31"/>
        <v>25344.889999999996</v>
      </c>
      <c r="T93" s="412">
        <f>+'2023'!R87</f>
        <v>28750.809999999998</v>
      </c>
      <c r="U93" s="579">
        <f t="shared" si="32"/>
        <v>34470.079999999994</v>
      </c>
      <c r="W93" s="9">
        <f t="shared" si="39"/>
        <v>0</v>
      </c>
      <c r="X93" s="9">
        <f t="shared" si="39"/>
        <v>0</v>
      </c>
      <c r="Y93" s="9">
        <f t="shared" si="39"/>
        <v>0</v>
      </c>
      <c r="Z93" s="9">
        <f t="shared" si="39"/>
        <v>0</v>
      </c>
      <c r="AA93" s="9">
        <f t="shared" si="39"/>
        <v>0</v>
      </c>
      <c r="AB93" s="9">
        <f t="shared" si="39"/>
        <v>0</v>
      </c>
      <c r="AC93" s="9">
        <f t="shared" si="39"/>
        <v>0</v>
      </c>
      <c r="AD93" s="9">
        <f t="shared" si="39"/>
        <v>0</v>
      </c>
      <c r="AE93" s="9">
        <f t="shared" si="39"/>
        <v>0</v>
      </c>
      <c r="AF93" s="9">
        <f t="shared" si="39"/>
        <v>0</v>
      </c>
      <c r="AG93" s="9">
        <f t="shared" si="39"/>
        <v>0</v>
      </c>
      <c r="AH93" s="9">
        <f t="shared" si="39"/>
        <v>34470.079999999994</v>
      </c>
      <c r="AI93" s="9">
        <f t="shared" si="39"/>
        <v>0</v>
      </c>
      <c r="AJ93" s="9">
        <f t="shared" si="39"/>
        <v>0</v>
      </c>
      <c r="AK93" s="9">
        <f t="shared" si="39"/>
        <v>0</v>
      </c>
      <c r="AL93" s="9">
        <f t="shared" si="37"/>
        <v>0</v>
      </c>
      <c r="AM93" s="365">
        <f t="shared" si="29"/>
        <v>34470.079999999994</v>
      </c>
      <c r="AN93" s="412">
        <f t="shared" si="33"/>
        <v>34470.079999999994</v>
      </c>
      <c r="AO93" s="412">
        <f t="shared" si="34"/>
        <v>0</v>
      </c>
    </row>
    <row r="94" spans="1:41" ht="14">
      <c r="A94" s="402" t="s">
        <v>1000</v>
      </c>
      <c r="B94" s="403">
        <v>15068982</v>
      </c>
      <c r="C94" s="403"/>
      <c r="D94" s="402"/>
      <c r="E94" s="402" t="s">
        <v>924</v>
      </c>
      <c r="F94" s="482"/>
      <c r="G94" s="482"/>
      <c r="H94" s="482"/>
      <c r="I94" s="482"/>
      <c r="J94" s="482"/>
      <c r="K94" s="482"/>
      <c r="L94" s="482"/>
      <c r="M94" s="482"/>
      <c r="N94" s="482"/>
      <c r="O94" s="482"/>
      <c r="P94" s="482"/>
      <c r="Q94" s="482"/>
      <c r="R94" s="586">
        <f t="shared" si="30"/>
        <v>0</v>
      </c>
      <c r="S94" s="412">
        <f t="shared" si="31"/>
        <v>0</v>
      </c>
      <c r="T94" s="412">
        <f>+'2023'!R90</f>
        <v>17782.48</v>
      </c>
      <c r="U94" s="579">
        <f t="shared" si="32"/>
        <v>0</v>
      </c>
      <c r="W94" s="9">
        <f t="shared" si="39"/>
        <v>0</v>
      </c>
      <c r="X94" s="9">
        <f t="shared" si="39"/>
        <v>0</v>
      </c>
      <c r="Y94" s="9">
        <f t="shared" si="39"/>
        <v>0</v>
      </c>
      <c r="Z94" s="9">
        <f t="shared" si="39"/>
        <v>0</v>
      </c>
      <c r="AA94" s="9">
        <f t="shared" si="39"/>
        <v>0</v>
      </c>
      <c r="AB94" s="9">
        <f t="shared" si="39"/>
        <v>0</v>
      </c>
      <c r="AC94" s="9">
        <f t="shared" si="39"/>
        <v>0</v>
      </c>
      <c r="AD94" s="9">
        <f t="shared" si="39"/>
        <v>0</v>
      </c>
      <c r="AE94" s="9">
        <f t="shared" si="39"/>
        <v>0</v>
      </c>
      <c r="AF94" s="9">
        <f t="shared" si="39"/>
        <v>0</v>
      </c>
      <c r="AG94" s="9">
        <f t="shared" si="39"/>
        <v>0</v>
      </c>
      <c r="AH94" s="9">
        <f t="shared" si="39"/>
        <v>0</v>
      </c>
      <c r="AI94" s="9">
        <f t="shared" si="39"/>
        <v>0</v>
      </c>
      <c r="AJ94" s="9">
        <f t="shared" si="39"/>
        <v>0</v>
      </c>
      <c r="AK94" s="9">
        <f t="shared" si="39"/>
        <v>0</v>
      </c>
      <c r="AL94" s="9">
        <f t="shared" si="37"/>
        <v>0</v>
      </c>
      <c r="AM94" s="365">
        <f t="shared" si="29"/>
        <v>0</v>
      </c>
      <c r="AN94" s="412">
        <f t="shared" si="33"/>
        <v>0</v>
      </c>
      <c r="AO94" s="412">
        <f t="shared" si="34"/>
        <v>0</v>
      </c>
    </row>
    <row r="95" spans="1:41" ht="14">
      <c r="A95" s="402" t="s">
        <v>531</v>
      </c>
      <c r="B95" s="403">
        <v>15078824</v>
      </c>
      <c r="C95" s="403"/>
      <c r="D95" s="402"/>
      <c r="E95" s="402" t="s">
        <v>1036</v>
      </c>
      <c r="F95" s="558">
        <v>16695.63</v>
      </c>
      <c r="G95" s="561">
        <v>19025.04</v>
      </c>
      <c r="H95" s="567">
        <v>24947.65</v>
      </c>
      <c r="I95" s="567">
        <v>53816.7</v>
      </c>
      <c r="J95" s="572">
        <v>29017.25</v>
      </c>
      <c r="K95" s="572">
        <v>20528.5</v>
      </c>
      <c r="L95" s="583">
        <v>11532.02</v>
      </c>
      <c r="M95" s="583">
        <v>21847.08</v>
      </c>
      <c r="N95" s="585">
        <v>29356.37</v>
      </c>
      <c r="O95" s="482"/>
      <c r="P95" s="482"/>
      <c r="Q95" s="482"/>
      <c r="R95" s="586">
        <f t="shared" si="30"/>
        <v>226766.24</v>
      </c>
      <c r="S95" s="412">
        <f t="shared" si="31"/>
        <v>164030.76999999999</v>
      </c>
      <c r="T95" s="412">
        <v>0</v>
      </c>
      <c r="U95" s="579">
        <f t="shared" si="32"/>
        <v>226766.24</v>
      </c>
      <c r="W95" s="9">
        <f t="shared" si="39"/>
        <v>0</v>
      </c>
      <c r="X95" s="9">
        <f t="shared" si="39"/>
        <v>0</v>
      </c>
      <c r="Y95" s="9">
        <f t="shared" si="39"/>
        <v>0</v>
      </c>
      <c r="Z95" s="9">
        <f t="shared" si="39"/>
        <v>226766.24</v>
      </c>
      <c r="AA95" s="9">
        <f t="shared" si="39"/>
        <v>0</v>
      </c>
      <c r="AB95" s="9">
        <f t="shared" si="39"/>
        <v>0</v>
      </c>
      <c r="AC95" s="9">
        <f t="shared" si="39"/>
        <v>0</v>
      </c>
      <c r="AD95" s="9">
        <f t="shared" si="39"/>
        <v>0</v>
      </c>
      <c r="AE95" s="9">
        <f t="shared" si="39"/>
        <v>0</v>
      </c>
      <c r="AF95" s="9">
        <f t="shared" si="39"/>
        <v>0</v>
      </c>
      <c r="AG95" s="9">
        <f t="shared" si="39"/>
        <v>0</v>
      </c>
      <c r="AH95" s="9">
        <f t="shared" si="39"/>
        <v>0</v>
      </c>
      <c r="AI95" s="9">
        <f t="shared" si="39"/>
        <v>0</v>
      </c>
      <c r="AJ95" s="9">
        <f t="shared" si="39"/>
        <v>0</v>
      </c>
      <c r="AK95" s="9">
        <f t="shared" si="39"/>
        <v>0</v>
      </c>
      <c r="AL95" s="9">
        <f t="shared" si="37"/>
        <v>0</v>
      </c>
      <c r="AM95" s="365">
        <f t="shared" si="29"/>
        <v>226766.24</v>
      </c>
      <c r="AN95" s="412">
        <f t="shared" si="33"/>
        <v>226766.24</v>
      </c>
      <c r="AO95" s="412">
        <f t="shared" si="34"/>
        <v>0</v>
      </c>
    </row>
    <row r="96" spans="1:41" ht="14">
      <c r="A96" s="402" t="s">
        <v>705</v>
      </c>
      <c r="B96" s="403">
        <v>7009800</v>
      </c>
      <c r="C96" s="403"/>
      <c r="D96" s="402" t="s">
        <v>113</v>
      </c>
      <c r="E96" s="402" t="s">
        <v>102</v>
      </c>
      <c r="F96" s="490"/>
      <c r="G96" s="490"/>
      <c r="H96" s="490"/>
      <c r="I96" s="567">
        <v>289</v>
      </c>
      <c r="J96" s="490"/>
      <c r="K96" s="482"/>
      <c r="L96" s="490"/>
      <c r="M96" s="482"/>
      <c r="N96" s="482"/>
      <c r="O96" s="482"/>
      <c r="P96" s="482"/>
      <c r="Q96" s="482"/>
      <c r="R96" s="586">
        <f t="shared" si="30"/>
        <v>289</v>
      </c>
      <c r="S96" s="412">
        <f t="shared" si="31"/>
        <v>289</v>
      </c>
      <c r="T96" s="412">
        <f>+'2023'!R91</f>
        <v>0</v>
      </c>
      <c r="U96" s="579">
        <f t="shared" si="32"/>
        <v>289</v>
      </c>
      <c r="W96" s="9">
        <f t="shared" si="39"/>
        <v>0</v>
      </c>
      <c r="X96" s="9">
        <f t="shared" si="39"/>
        <v>0</v>
      </c>
      <c r="Y96" s="9">
        <f t="shared" si="39"/>
        <v>0</v>
      </c>
      <c r="Z96" s="9">
        <f t="shared" si="39"/>
        <v>0</v>
      </c>
      <c r="AA96" s="9">
        <f t="shared" si="39"/>
        <v>0</v>
      </c>
      <c r="AB96" s="9">
        <f t="shared" si="39"/>
        <v>0</v>
      </c>
      <c r="AC96" s="9">
        <f t="shared" si="39"/>
        <v>0</v>
      </c>
      <c r="AD96" s="9">
        <f t="shared" si="39"/>
        <v>0</v>
      </c>
      <c r="AE96" s="9">
        <f t="shared" si="39"/>
        <v>0</v>
      </c>
      <c r="AF96" s="9">
        <f t="shared" si="39"/>
        <v>0</v>
      </c>
      <c r="AG96" s="9">
        <f t="shared" si="39"/>
        <v>0</v>
      </c>
      <c r="AH96" s="9">
        <f t="shared" si="39"/>
        <v>0</v>
      </c>
      <c r="AI96" s="9">
        <f t="shared" si="39"/>
        <v>0</v>
      </c>
      <c r="AJ96" s="9">
        <f t="shared" si="39"/>
        <v>0</v>
      </c>
      <c r="AK96" s="9">
        <f t="shared" si="39"/>
        <v>0</v>
      </c>
      <c r="AL96" s="9">
        <f t="shared" si="37"/>
        <v>289</v>
      </c>
      <c r="AM96" s="365">
        <f t="shared" si="29"/>
        <v>289</v>
      </c>
      <c r="AN96" s="412">
        <f t="shared" si="33"/>
        <v>289</v>
      </c>
      <c r="AO96" s="412">
        <f t="shared" si="34"/>
        <v>0</v>
      </c>
    </row>
    <row r="97" spans="1:41" ht="14">
      <c r="A97" s="402" t="s">
        <v>531</v>
      </c>
      <c r="B97" s="403">
        <v>15059549</v>
      </c>
      <c r="C97" s="403">
        <v>42</v>
      </c>
      <c r="D97" s="402"/>
      <c r="E97" s="402" t="s">
        <v>856</v>
      </c>
      <c r="F97" s="558">
        <v>12804.89</v>
      </c>
      <c r="G97" s="561">
        <v>13472.24</v>
      </c>
      <c r="H97" s="563">
        <v>16715.490000000002</v>
      </c>
      <c r="I97" s="567">
        <v>19936.240000000002</v>
      </c>
      <c r="J97" s="572">
        <v>13929.28</v>
      </c>
      <c r="K97" s="572">
        <v>8888.92</v>
      </c>
      <c r="L97" s="576">
        <v>8926.48</v>
      </c>
      <c r="M97" s="583">
        <v>11213.45</v>
      </c>
      <c r="N97" s="585">
        <v>14427.02</v>
      </c>
      <c r="O97" s="482"/>
      <c r="P97" s="482"/>
      <c r="Q97" s="482"/>
      <c r="R97" s="586">
        <f t="shared" si="30"/>
        <v>120314.01</v>
      </c>
      <c r="S97" s="412">
        <f t="shared" si="31"/>
        <v>85747.06</v>
      </c>
      <c r="T97" s="412">
        <f>+'2023'!R92</f>
        <v>80192.87</v>
      </c>
      <c r="U97" s="579">
        <f t="shared" si="32"/>
        <v>120314.01</v>
      </c>
      <c r="W97" s="9">
        <f t="shared" si="39"/>
        <v>0</v>
      </c>
      <c r="X97" s="9">
        <f t="shared" si="39"/>
        <v>0</v>
      </c>
      <c r="Y97" s="9">
        <f t="shared" si="39"/>
        <v>0</v>
      </c>
      <c r="Z97" s="9">
        <f t="shared" si="39"/>
        <v>120314.01</v>
      </c>
      <c r="AA97" s="9">
        <f t="shared" si="39"/>
        <v>0</v>
      </c>
      <c r="AB97" s="9">
        <f t="shared" si="39"/>
        <v>0</v>
      </c>
      <c r="AC97" s="9">
        <f t="shared" si="39"/>
        <v>0</v>
      </c>
      <c r="AD97" s="9">
        <f t="shared" si="39"/>
        <v>0</v>
      </c>
      <c r="AE97" s="9">
        <f t="shared" si="39"/>
        <v>0</v>
      </c>
      <c r="AF97" s="9">
        <f t="shared" si="39"/>
        <v>0</v>
      </c>
      <c r="AG97" s="9">
        <f t="shared" si="39"/>
        <v>0</v>
      </c>
      <c r="AH97" s="9">
        <f t="shared" si="39"/>
        <v>0</v>
      </c>
      <c r="AI97" s="9">
        <f t="shared" si="39"/>
        <v>0</v>
      </c>
      <c r="AJ97" s="9">
        <f t="shared" si="39"/>
        <v>0</v>
      </c>
      <c r="AK97" s="9">
        <f t="shared" si="39"/>
        <v>0</v>
      </c>
      <c r="AL97" s="9">
        <f t="shared" si="37"/>
        <v>0</v>
      </c>
      <c r="AM97" s="365">
        <f t="shared" si="29"/>
        <v>120314.01</v>
      </c>
      <c r="AN97" s="412">
        <f t="shared" si="33"/>
        <v>120314.01</v>
      </c>
      <c r="AO97" s="412">
        <f t="shared" si="34"/>
        <v>0</v>
      </c>
    </row>
    <row r="98" spans="1:41" ht="14">
      <c r="A98" s="402" t="s">
        <v>530</v>
      </c>
      <c r="B98" s="403">
        <v>15036275</v>
      </c>
      <c r="C98" s="403">
        <v>99</v>
      </c>
      <c r="D98" s="402" t="s">
        <v>645</v>
      </c>
      <c r="E98" s="402" t="s">
        <v>590</v>
      </c>
      <c r="F98" s="558">
        <v>24099.51</v>
      </c>
      <c r="G98" s="561">
        <v>14638.5</v>
      </c>
      <c r="H98" s="563">
        <v>22100.33</v>
      </c>
      <c r="I98" s="567">
        <v>28843.8</v>
      </c>
      <c r="J98" s="572">
        <v>16672.89</v>
      </c>
      <c r="K98" s="572">
        <v>9989.41</v>
      </c>
      <c r="L98" s="576">
        <v>9489.11</v>
      </c>
      <c r="M98" s="583">
        <v>11156.98</v>
      </c>
      <c r="N98" s="585">
        <v>18594.22</v>
      </c>
      <c r="O98" s="482"/>
      <c r="P98" s="482"/>
      <c r="Q98" s="482"/>
      <c r="R98" s="586">
        <f t="shared" si="30"/>
        <v>155584.75</v>
      </c>
      <c r="S98" s="412">
        <f t="shared" si="31"/>
        <v>116344.44</v>
      </c>
      <c r="T98" s="412">
        <f>+'2023'!R93</f>
        <v>125572.27</v>
      </c>
      <c r="U98" s="579">
        <f t="shared" si="32"/>
        <v>155584.75</v>
      </c>
      <c r="W98" s="9">
        <f t="shared" si="39"/>
        <v>0</v>
      </c>
      <c r="X98" s="9">
        <f t="shared" si="39"/>
        <v>0</v>
      </c>
      <c r="Y98" s="9">
        <f t="shared" si="39"/>
        <v>0</v>
      </c>
      <c r="Z98" s="9">
        <f t="shared" si="39"/>
        <v>0</v>
      </c>
      <c r="AA98" s="9">
        <f t="shared" si="39"/>
        <v>0</v>
      </c>
      <c r="AB98" s="9">
        <f t="shared" si="39"/>
        <v>155584.75</v>
      </c>
      <c r="AC98" s="9">
        <f t="shared" si="39"/>
        <v>0</v>
      </c>
      <c r="AD98" s="9">
        <f t="shared" si="39"/>
        <v>0</v>
      </c>
      <c r="AE98" s="9">
        <f t="shared" si="39"/>
        <v>0</v>
      </c>
      <c r="AF98" s="9">
        <f t="shared" si="39"/>
        <v>0</v>
      </c>
      <c r="AG98" s="9">
        <f t="shared" si="39"/>
        <v>0</v>
      </c>
      <c r="AH98" s="9">
        <f t="shared" si="39"/>
        <v>0</v>
      </c>
      <c r="AI98" s="9">
        <f t="shared" si="39"/>
        <v>0</v>
      </c>
      <c r="AJ98" s="9">
        <f t="shared" si="39"/>
        <v>0</v>
      </c>
      <c r="AK98" s="9">
        <f t="shared" si="39"/>
        <v>0</v>
      </c>
      <c r="AL98" s="9">
        <f t="shared" si="37"/>
        <v>0</v>
      </c>
      <c r="AM98" s="365">
        <f t="shared" si="29"/>
        <v>155584.75</v>
      </c>
      <c r="AN98" s="412">
        <f t="shared" si="33"/>
        <v>155584.75</v>
      </c>
      <c r="AO98" s="412">
        <f t="shared" si="34"/>
        <v>0</v>
      </c>
    </row>
    <row r="99" spans="1:41" ht="14">
      <c r="A99" s="402" t="s">
        <v>537</v>
      </c>
      <c r="B99" s="403">
        <v>15055052</v>
      </c>
      <c r="C99" s="403">
        <v>95</v>
      </c>
      <c r="D99" s="402" t="s">
        <v>590</v>
      </c>
      <c r="E99" s="402" t="s">
        <v>590</v>
      </c>
      <c r="F99" s="558">
        <v>22867.31</v>
      </c>
      <c r="G99" s="561">
        <v>18459.349999999999</v>
      </c>
      <c r="H99" s="563">
        <v>18923.04</v>
      </c>
      <c r="I99" s="567">
        <v>29290.25</v>
      </c>
      <c r="J99" s="568">
        <v>20819.48</v>
      </c>
      <c r="K99" s="572">
        <v>16334.1</v>
      </c>
      <c r="L99" s="576">
        <v>14527.21</v>
      </c>
      <c r="M99" s="583">
        <v>16186.03</v>
      </c>
      <c r="N99" s="585">
        <v>21977.82</v>
      </c>
      <c r="O99" s="482"/>
      <c r="P99" s="482"/>
      <c r="Q99" s="482"/>
      <c r="R99" s="586">
        <f t="shared" si="30"/>
        <v>179384.59000000003</v>
      </c>
      <c r="S99" s="412">
        <f t="shared" si="31"/>
        <v>126693.53000000001</v>
      </c>
      <c r="T99" s="412">
        <f>+'2023'!R94</f>
        <v>144398.66999999998</v>
      </c>
      <c r="U99" s="579">
        <f t="shared" si="32"/>
        <v>179384.59000000003</v>
      </c>
      <c r="W99" s="9">
        <f t="shared" si="39"/>
        <v>0</v>
      </c>
      <c r="X99" s="9">
        <f t="shared" si="39"/>
        <v>179384.59000000003</v>
      </c>
      <c r="Y99" s="9">
        <f t="shared" si="39"/>
        <v>0</v>
      </c>
      <c r="Z99" s="9">
        <f t="shared" si="39"/>
        <v>0</v>
      </c>
      <c r="AA99" s="9">
        <f t="shared" si="39"/>
        <v>0</v>
      </c>
      <c r="AB99" s="9">
        <f t="shared" si="39"/>
        <v>0</v>
      </c>
      <c r="AC99" s="9">
        <f t="shared" si="39"/>
        <v>0</v>
      </c>
      <c r="AD99" s="9">
        <f t="shared" si="39"/>
        <v>0</v>
      </c>
      <c r="AE99" s="9">
        <f t="shared" si="39"/>
        <v>0</v>
      </c>
      <c r="AF99" s="9">
        <f t="shared" si="39"/>
        <v>0</v>
      </c>
      <c r="AG99" s="9">
        <f t="shared" si="39"/>
        <v>0</v>
      </c>
      <c r="AH99" s="9">
        <f t="shared" si="39"/>
        <v>0</v>
      </c>
      <c r="AI99" s="9">
        <f t="shared" si="39"/>
        <v>0</v>
      </c>
      <c r="AJ99" s="9">
        <f t="shared" si="39"/>
        <v>0</v>
      </c>
      <c r="AK99" s="9">
        <f t="shared" si="39"/>
        <v>0</v>
      </c>
      <c r="AL99" s="9">
        <f t="shared" si="37"/>
        <v>0</v>
      </c>
      <c r="AM99" s="365">
        <f t="shared" si="29"/>
        <v>179384.59000000003</v>
      </c>
      <c r="AN99" s="412">
        <f t="shared" si="33"/>
        <v>179384.59000000003</v>
      </c>
      <c r="AO99" s="412">
        <f t="shared" si="34"/>
        <v>0</v>
      </c>
    </row>
    <row r="100" spans="1:41" ht="14">
      <c r="A100" s="402" t="s">
        <v>1043</v>
      </c>
      <c r="B100" s="403">
        <v>15079117</v>
      </c>
      <c r="C100" s="403"/>
      <c r="D100" s="402"/>
      <c r="E100" s="402" t="s">
        <v>1041</v>
      </c>
      <c r="F100" s="558"/>
      <c r="G100" s="561"/>
      <c r="H100" s="563"/>
      <c r="I100" s="567"/>
      <c r="J100" s="568"/>
      <c r="K100" s="572">
        <v>84537.89</v>
      </c>
      <c r="L100" s="482"/>
      <c r="M100" s="583">
        <v>78054.759999999995</v>
      </c>
      <c r="N100" s="482"/>
      <c r="O100" s="482"/>
      <c r="P100" s="482"/>
      <c r="Q100" s="482"/>
      <c r="R100" s="586">
        <f t="shared" si="30"/>
        <v>162592.65</v>
      </c>
      <c r="S100" s="412">
        <f t="shared" si="31"/>
        <v>84537.89</v>
      </c>
      <c r="T100" s="412">
        <v>0</v>
      </c>
      <c r="U100" s="579">
        <f t="shared" si="32"/>
        <v>162592.65</v>
      </c>
      <c r="W100" s="9">
        <f t="shared" si="39"/>
        <v>0</v>
      </c>
      <c r="X100" s="9">
        <f t="shared" si="39"/>
        <v>0</v>
      </c>
      <c r="Y100" s="9">
        <f t="shared" si="39"/>
        <v>0</v>
      </c>
      <c r="Z100" s="9">
        <f t="shared" si="39"/>
        <v>0</v>
      </c>
      <c r="AA100" s="9">
        <f t="shared" si="39"/>
        <v>0</v>
      </c>
      <c r="AB100" s="9">
        <f t="shared" si="39"/>
        <v>0</v>
      </c>
      <c r="AC100" s="9">
        <f t="shared" si="39"/>
        <v>0</v>
      </c>
      <c r="AD100" s="9">
        <f t="shared" si="39"/>
        <v>0</v>
      </c>
      <c r="AE100" s="9">
        <f t="shared" si="39"/>
        <v>0</v>
      </c>
      <c r="AF100" s="9">
        <f t="shared" si="39"/>
        <v>0</v>
      </c>
      <c r="AG100" s="9">
        <f t="shared" si="39"/>
        <v>0</v>
      </c>
      <c r="AH100" s="9">
        <f t="shared" si="39"/>
        <v>0</v>
      </c>
      <c r="AI100" s="9">
        <f t="shared" si="39"/>
        <v>0</v>
      </c>
      <c r="AJ100" s="9">
        <f t="shared" si="39"/>
        <v>0</v>
      </c>
      <c r="AK100" s="9">
        <f t="shared" si="39"/>
        <v>162592.65</v>
      </c>
      <c r="AL100" s="9">
        <f t="shared" si="37"/>
        <v>0</v>
      </c>
      <c r="AM100" s="365">
        <f t="shared" si="29"/>
        <v>162592.65</v>
      </c>
      <c r="AN100" s="412">
        <f t="shared" si="33"/>
        <v>162592.65</v>
      </c>
      <c r="AO100" s="412">
        <f t="shared" si="34"/>
        <v>0</v>
      </c>
    </row>
    <row r="101" spans="1:41" ht="14">
      <c r="A101" s="402" t="s">
        <v>660</v>
      </c>
      <c r="B101" s="403">
        <v>15070987</v>
      </c>
      <c r="C101" s="403">
        <v>97</v>
      </c>
      <c r="D101" s="402"/>
      <c r="E101" s="402" t="s">
        <v>1013</v>
      </c>
      <c r="F101" s="558">
        <v>22023.96</v>
      </c>
      <c r="G101" s="561">
        <v>20251.599999999999</v>
      </c>
      <c r="H101" s="563">
        <v>23815.96</v>
      </c>
      <c r="I101" s="567">
        <v>32166.93</v>
      </c>
      <c r="J101" s="568">
        <v>18267.439999999999</v>
      </c>
      <c r="K101" s="572">
        <v>11826.44</v>
      </c>
      <c r="L101" s="576">
        <v>12071.55</v>
      </c>
      <c r="M101" s="583">
        <v>14741.28</v>
      </c>
      <c r="N101" s="585">
        <v>19782.7</v>
      </c>
      <c r="O101" s="482"/>
      <c r="P101" s="482"/>
      <c r="Q101" s="482"/>
      <c r="R101" s="586">
        <f t="shared" si="30"/>
        <v>174947.86</v>
      </c>
      <c r="S101" s="412">
        <f t="shared" si="31"/>
        <v>128352.32999999999</v>
      </c>
      <c r="T101" s="412">
        <f>+'2023'!R95</f>
        <v>111171.77</v>
      </c>
      <c r="U101" s="579">
        <f t="shared" si="32"/>
        <v>174947.86</v>
      </c>
      <c r="W101" s="9">
        <f t="shared" si="39"/>
        <v>0</v>
      </c>
      <c r="X101" s="9">
        <f t="shared" si="39"/>
        <v>0</v>
      </c>
      <c r="Y101" s="9">
        <f t="shared" si="39"/>
        <v>0</v>
      </c>
      <c r="Z101" s="9">
        <f t="shared" si="39"/>
        <v>0</v>
      </c>
      <c r="AA101" s="9">
        <f t="shared" si="39"/>
        <v>0</v>
      </c>
      <c r="AB101" s="9">
        <f t="shared" si="39"/>
        <v>0</v>
      </c>
      <c r="AC101" s="9">
        <f t="shared" si="39"/>
        <v>0</v>
      </c>
      <c r="AD101" s="9">
        <f t="shared" si="39"/>
        <v>0</v>
      </c>
      <c r="AE101" s="9">
        <f t="shared" si="39"/>
        <v>0</v>
      </c>
      <c r="AF101" s="9">
        <f t="shared" si="39"/>
        <v>0</v>
      </c>
      <c r="AG101" s="9">
        <f t="shared" si="39"/>
        <v>0</v>
      </c>
      <c r="AH101" s="9">
        <f t="shared" si="39"/>
        <v>0</v>
      </c>
      <c r="AI101" s="9">
        <f t="shared" si="39"/>
        <v>174947.86</v>
      </c>
      <c r="AJ101" s="9">
        <f t="shared" si="39"/>
        <v>0</v>
      </c>
      <c r="AK101" s="9">
        <f t="shared" si="39"/>
        <v>0</v>
      </c>
      <c r="AL101" s="9">
        <f t="shared" si="37"/>
        <v>0</v>
      </c>
      <c r="AM101" s="365">
        <f t="shared" si="29"/>
        <v>174947.86</v>
      </c>
      <c r="AN101" s="412">
        <f t="shared" si="33"/>
        <v>174947.86</v>
      </c>
      <c r="AO101" s="412">
        <f t="shared" si="34"/>
        <v>0</v>
      </c>
    </row>
    <row r="102" spans="1:41" ht="14">
      <c r="A102" s="402" t="s">
        <v>1000</v>
      </c>
      <c r="B102" s="403">
        <v>15056636</v>
      </c>
      <c r="C102" s="403"/>
      <c r="D102" s="402" t="s">
        <v>712</v>
      </c>
      <c r="E102" s="402" t="s">
        <v>712</v>
      </c>
      <c r="F102" s="490"/>
      <c r="G102" s="490"/>
      <c r="H102" s="563">
        <v>36.81</v>
      </c>
      <c r="I102" s="567">
        <v>34</v>
      </c>
      <c r="J102" s="490"/>
      <c r="K102" s="490"/>
      <c r="L102" s="490"/>
      <c r="M102" s="482"/>
      <c r="N102" s="482"/>
      <c r="O102" s="482"/>
      <c r="P102" s="482"/>
      <c r="Q102" s="482"/>
      <c r="R102" s="586">
        <f t="shared" si="30"/>
        <v>70.81</v>
      </c>
      <c r="S102" s="412">
        <f t="shared" si="31"/>
        <v>70.81</v>
      </c>
      <c r="T102" s="412">
        <f>+'2023'!R96</f>
        <v>10.88</v>
      </c>
      <c r="U102" s="579">
        <f t="shared" si="32"/>
        <v>70.81</v>
      </c>
      <c r="W102" s="9">
        <f t="shared" si="39"/>
        <v>0</v>
      </c>
      <c r="X102" s="9">
        <f t="shared" si="39"/>
        <v>0</v>
      </c>
      <c r="Y102" s="9">
        <f t="shared" si="39"/>
        <v>0</v>
      </c>
      <c r="Z102" s="9">
        <f t="shared" si="39"/>
        <v>0</v>
      </c>
      <c r="AA102" s="9">
        <f t="shared" si="39"/>
        <v>0</v>
      </c>
      <c r="AB102" s="9">
        <f t="shared" si="39"/>
        <v>0</v>
      </c>
      <c r="AC102" s="9">
        <f t="shared" si="39"/>
        <v>0</v>
      </c>
      <c r="AD102" s="9">
        <f t="shared" si="39"/>
        <v>0</v>
      </c>
      <c r="AE102" s="9">
        <f t="shared" si="39"/>
        <v>0</v>
      </c>
      <c r="AF102" s="9">
        <f t="shared" si="39"/>
        <v>0</v>
      </c>
      <c r="AG102" s="9">
        <f t="shared" si="39"/>
        <v>0</v>
      </c>
      <c r="AH102" s="9">
        <f t="shared" si="39"/>
        <v>0</v>
      </c>
      <c r="AI102" s="9">
        <f t="shared" si="39"/>
        <v>0</v>
      </c>
      <c r="AJ102" s="9">
        <f t="shared" si="39"/>
        <v>70.81</v>
      </c>
      <c r="AK102" s="9">
        <f t="shared" si="39"/>
        <v>0</v>
      </c>
      <c r="AL102" s="9">
        <f t="shared" si="37"/>
        <v>0</v>
      </c>
      <c r="AM102" s="365">
        <f t="shared" si="29"/>
        <v>70.81</v>
      </c>
      <c r="AN102" s="412">
        <f t="shared" si="33"/>
        <v>70.81</v>
      </c>
      <c r="AO102" s="412">
        <f t="shared" si="34"/>
        <v>0</v>
      </c>
    </row>
    <row r="103" spans="1:41" ht="14">
      <c r="A103" s="402" t="s">
        <v>1000</v>
      </c>
      <c r="B103" s="403">
        <v>13860400</v>
      </c>
      <c r="C103" s="403"/>
      <c r="D103" s="402"/>
      <c r="E103" s="402" t="s">
        <v>1019</v>
      </c>
      <c r="F103" s="482"/>
      <c r="G103" s="482"/>
      <c r="H103" s="482"/>
      <c r="I103" s="482"/>
      <c r="J103" s="482"/>
      <c r="K103" s="482"/>
      <c r="L103" s="482"/>
      <c r="M103" s="482"/>
      <c r="N103" s="482"/>
      <c r="O103" s="482"/>
      <c r="P103" s="482"/>
      <c r="Q103" s="482"/>
      <c r="R103" s="586">
        <f t="shared" si="30"/>
        <v>0</v>
      </c>
      <c r="S103" s="412">
        <f t="shared" si="31"/>
        <v>0</v>
      </c>
      <c r="T103" s="412">
        <f>+'2023'!R97</f>
        <v>0</v>
      </c>
      <c r="U103" s="579">
        <f t="shared" si="32"/>
        <v>0</v>
      </c>
      <c r="W103" s="9">
        <f t="shared" si="39"/>
        <v>0</v>
      </c>
      <c r="X103" s="9">
        <f t="shared" si="39"/>
        <v>0</v>
      </c>
      <c r="Y103" s="9">
        <f t="shared" si="39"/>
        <v>0</v>
      </c>
      <c r="Z103" s="9">
        <f t="shared" si="39"/>
        <v>0</v>
      </c>
      <c r="AA103" s="9">
        <f t="shared" si="39"/>
        <v>0</v>
      </c>
      <c r="AB103" s="9">
        <f t="shared" si="39"/>
        <v>0</v>
      </c>
      <c r="AC103" s="9">
        <f t="shared" si="39"/>
        <v>0</v>
      </c>
      <c r="AD103" s="9">
        <f t="shared" si="39"/>
        <v>0</v>
      </c>
      <c r="AE103" s="9">
        <f t="shared" si="39"/>
        <v>0</v>
      </c>
      <c r="AF103" s="9">
        <f t="shared" si="39"/>
        <v>0</v>
      </c>
      <c r="AG103" s="9">
        <f t="shared" si="39"/>
        <v>0</v>
      </c>
      <c r="AH103" s="9">
        <f t="shared" si="39"/>
        <v>0</v>
      </c>
      <c r="AI103" s="9">
        <f t="shared" si="39"/>
        <v>0</v>
      </c>
      <c r="AJ103" s="9">
        <f t="shared" si="39"/>
        <v>0</v>
      </c>
      <c r="AK103" s="9">
        <f t="shared" si="39"/>
        <v>0</v>
      </c>
      <c r="AL103" s="9">
        <f t="shared" si="37"/>
        <v>0</v>
      </c>
      <c r="AM103" s="365">
        <f t="shared" si="29"/>
        <v>0</v>
      </c>
      <c r="AN103" s="412">
        <f t="shared" si="33"/>
        <v>0</v>
      </c>
      <c r="AO103" s="412">
        <f t="shared" si="34"/>
        <v>0</v>
      </c>
    </row>
    <row r="104" spans="1:41" ht="14">
      <c r="A104" s="406" t="s">
        <v>533</v>
      </c>
      <c r="B104" s="407">
        <v>15055141</v>
      </c>
      <c r="C104" s="407">
        <v>124</v>
      </c>
      <c r="D104" s="408" t="s">
        <v>695</v>
      </c>
      <c r="E104" s="408" t="s">
        <v>695</v>
      </c>
      <c r="F104" s="559">
        <v>13490.1</v>
      </c>
      <c r="G104" s="562">
        <v>12059.6</v>
      </c>
      <c r="H104" s="565">
        <v>11337.98</v>
      </c>
      <c r="I104" s="570">
        <v>12223.52</v>
      </c>
      <c r="J104" s="573">
        <v>11930.15</v>
      </c>
      <c r="K104" s="573">
        <v>10272.719999999999</v>
      </c>
      <c r="L104" s="584">
        <v>9486.31</v>
      </c>
      <c r="M104" s="584">
        <v>10759.13</v>
      </c>
      <c r="N104" s="527"/>
      <c r="O104" s="527"/>
      <c r="P104" s="527"/>
      <c r="Q104" s="527"/>
      <c r="R104" s="587">
        <f t="shared" si="30"/>
        <v>91559.51</v>
      </c>
      <c r="S104" s="412">
        <f t="shared" si="31"/>
        <v>71314.069999999992</v>
      </c>
      <c r="T104" s="412">
        <f>+'2023'!R98</f>
        <v>60148.86</v>
      </c>
      <c r="U104" s="579">
        <f t="shared" si="32"/>
        <v>91559.51</v>
      </c>
      <c r="W104" s="9">
        <f t="shared" si="39"/>
        <v>0</v>
      </c>
      <c r="X104" s="9">
        <f t="shared" si="39"/>
        <v>0</v>
      </c>
      <c r="Y104" s="9">
        <f t="shared" si="39"/>
        <v>0</v>
      </c>
      <c r="Z104" s="9">
        <f t="shared" si="39"/>
        <v>0</v>
      </c>
      <c r="AA104" s="9">
        <f t="shared" si="39"/>
        <v>0</v>
      </c>
      <c r="AB104" s="9">
        <f t="shared" si="39"/>
        <v>0</v>
      </c>
      <c r="AC104" s="9">
        <f t="shared" si="39"/>
        <v>0</v>
      </c>
      <c r="AD104" s="9">
        <f t="shared" si="39"/>
        <v>0</v>
      </c>
      <c r="AE104" s="9">
        <f t="shared" si="39"/>
        <v>0</v>
      </c>
      <c r="AF104" s="9">
        <f t="shared" si="39"/>
        <v>91559.51</v>
      </c>
      <c r="AG104" s="9">
        <f t="shared" si="39"/>
        <v>0</v>
      </c>
      <c r="AH104" s="9">
        <f t="shared" si="39"/>
        <v>0</v>
      </c>
      <c r="AI104" s="9">
        <f t="shared" si="39"/>
        <v>0</v>
      </c>
      <c r="AJ104" s="9">
        <f t="shared" si="39"/>
        <v>0</v>
      </c>
      <c r="AK104" s="9">
        <f t="shared" si="39"/>
        <v>0</v>
      </c>
      <c r="AL104" s="9">
        <f t="shared" si="37"/>
        <v>0</v>
      </c>
      <c r="AM104" s="365">
        <f t="shared" si="29"/>
        <v>91559.51</v>
      </c>
      <c r="AN104" s="412">
        <f t="shared" si="33"/>
        <v>91559.51</v>
      </c>
      <c r="AO104" s="412">
        <f t="shared" si="34"/>
        <v>0</v>
      </c>
    </row>
    <row r="105" spans="1:41" ht="14">
      <c r="A105" s="402"/>
      <c r="B105" s="404"/>
      <c r="C105" s="404"/>
      <c r="D105" s="405"/>
      <c r="E105" s="405"/>
      <c r="F105" s="553">
        <f t="shared" ref="F105:Q105" si="40">SUM(F4:F104)</f>
        <v>1891859.4829999991</v>
      </c>
      <c r="G105" s="412">
        <f t="shared" si="40"/>
        <v>1840248.3399999999</v>
      </c>
      <c r="H105" s="412">
        <f t="shared" si="40"/>
        <v>2103305.5599999996</v>
      </c>
      <c r="I105" s="412">
        <f t="shared" si="40"/>
        <v>2674227.1</v>
      </c>
      <c r="J105" s="412">
        <f t="shared" si="40"/>
        <v>1635316.0999999999</v>
      </c>
      <c r="K105" s="412">
        <f t="shared" si="40"/>
        <v>1163088.44</v>
      </c>
      <c r="L105" s="412">
        <f t="shared" si="40"/>
        <v>1145813.3400000003</v>
      </c>
      <c r="M105" s="412">
        <f t="shared" si="40"/>
        <v>1415901.5100000002</v>
      </c>
      <c r="N105" s="412">
        <f t="shared" si="40"/>
        <v>1685559.5899999994</v>
      </c>
      <c r="O105" s="412">
        <f t="shared" si="40"/>
        <v>0</v>
      </c>
      <c r="P105" s="412">
        <f t="shared" si="40"/>
        <v>0</v>
      </c>
      <c r="Q105" s="412">
        <f t="shared" si="40"/>
        <v>0</v>
      </c>
      <c r="R105" s="412">
        <f>+SUM(R3:R104)</f>
        <v>15555319.463000001</v>
      </c>
      <c r="S105" s="412">
        <f>SUM(S4:S104)</f>
        <v>11308045.023000004</v>
      </c>
      <c r="T105" s="579">
        <f>+SUM(T4:T104)</f>
        <v>11068827.839999996</v>
      </c>
      <c r="U105" s="579">
        <f>+SUM(U4:U104)</f>
        <v>15555319.463000001</v>
      </c>
    </row>
    <row r="106" spans="1:41" ht="14">
      <c r="A106" s="402"/>
      <c r="B106" s="404"/>
      <c r="C106" s="404"/>
      <c r="D106" s="405"/>
      <c r="E106" s="405"/>
    </row>
    <row r="107" spans="1:41" ht="14">
      <c r="E107" s="402" t="s">
        <v>140</v>
      </c>
      <c r="F107" s="426">
        <f t="shared" ref="F107:Q107" si="41">+F105</f>
        <v>1891859.4829999991</v>
      </c>
      <c r="G107" s="430">
        <f t="shared" si="41"/>
        <v>1840248.3399999999</v>
      </c>
      <c r="H107" s="430">
        <f t="shared" si="41"/>
        <v>2103305.5599999996</v>
      </c>
      <c r="I107" s="430">
        <f t="shared" si="41"/>
        <v>2674227.1</v>
      </c>
      <c r="J107" s="430">
        <f t="shared" si="41"/>
        <v>1635316.0999999999</v>
      </c>
      <c r="K107" s="430">
        <f>+K105</f>
        <v>1163088.44</v>
      </c>
      <c r="L107" s="430">
        <f t="shared" si="41"/>
        <v>1145813.3400000003</v>
      </c>
      <c r="M107" s="430">
        <f t="shared" si="41"/>
        <v>1415901.5100000002</v>
      </c>
      <c r="N107" s="430">
        <f>+N105</f>
        <v>1685559.5899999994</v>
      </c>
      <c r="O107" s="430">
        <f t="shared" si="41"/>
        <v>0</v>
      </c>
      <c r="P107" s="430">
        <f t="shared" si="41"/>
        <v>0</v>
      </c>
      <c r="Q107" s="430">
        <f t="shared" si="41"/>
        <v>0</v>
      </c>
      <c r="R107" s="430"/>
      <c r="S107" s="412"/>
      <c r="T107" s="412"/>
    </row>
    <row r="108" spans="1:41" ht="14">
      <c r="E108" s="402" t="s">
        <v>348</v>
      </c>
      <c r="F108" s="426">
        <f>-F9-F10-F14-F17-F18-F19-F26-F28-F48-F58-F88-F91-F94-F103-F41</f>
        <v>-100676.01000000001</v>
      </c>
      <c r="G108" s="431">
        <f>-G4-G9-G10-G17-G18-G26-G37-G46-G56-G63-G72-G76-G79-G88-G94-G96-G102-G103-G30-G41</f>
        <v>-112984.35</v>
      </c>
      <c r="H108" s="431">
        <f>-H4-H8-H9-H10-H14-H17-H18-H26-H37-H46-H56-H76-H77-H79-H94-H95-H96-H103-H41</f>
        <v>-206250.25999999998</v>
      </c>
      <c r="I108" s="431">
        <f>-I28-I62-I63-I65-I18-I46</f>
        <v>-140699.56</v>
      </c>
      <c r="J108" s="431">
        <f>-J4-J8-J9-J10-J11-J14-J15-J17-J18-J20-J23-J26-J28-J30-J32-J33-J37-J40-J43-J46-J47-J53-J54-J55-J56-J59-J60-J63-J66-J67-J69-J71-J74-J75-J76-J77-J78-J79-J87-J92-J94-J95-J97-J98-J103-J104</f>
        <v>-674260.62000000011</v>
      </c>
      <c r="K108" s="431">
        <f>-K8-K9-K10-K14-K17-K18-K26-K34-K40-K41-K46-K56-K71-K75-K76-K77-K79-K94-K96-K103</f>
        <v>-35511.699999999997</v>
      </c>
      <c r="L108" s="431">
        <f>-L8-L9-L10-L14-L17-L18-L26-L28-L30-L32-L40-L41-L56-L62-L69-L72-L75-L79-L94-L95-L96-L100-L102-L103-L104</f>
        <v>-76681.05</v>
      </c>
      <c r="M108" s="412">
        <f>-M8-M9-M10-M14-M17-M18-M26-M30-M32-M34-M41-M52-M56-M62-M72-M75-M76-M79-M94-M96-M102-M103</f>
        <v>-111780.95</v>
      </c>
      <c r="N108" s="431">
        <f>-N4-N8-N9-N10-N17-N18-N26-N37-N40-N41-N48-N52-N54-N56-N72-N75-N76-N78-N79-N94-N96-N100-N102-N103-N104</f>
        <v>0</v>
      </c>
      <c r="O108" s="431"/>
      <c r="P108" s="431"/>
      <c r="Q108" s="431"/>
      <c r="R108" s="431"/>
    </row>
    <row r="109" spans="1:41" ht="14">
      <c r="E109" s="402" t="s">
        <v>349</v>
      </c>
      <c r="F109" s="427">
        <v>333396.44</v>
      </c>
      <c r="G109" s="432">
        <f>+F14+F18+F28+2183.65+2028.95+1908.25+2006.34</f>
        <v>108637.73999999999</v>
      </c>
      <c r="H109" s="432">
        <f>+G4+G18+G30+G63+G76</f>
        <v>68934.69</v>
      </c>
      <c r="I109" s="432">
        <f>+G37+G46+H4+H14+H18+H37+H46+H77+H95+2052.58+2051.9+1965.71+2140.3</f>
        <v>256643.52999999994</v>
      </c>
      <c r="J109" s="432">
        <f>+I28+I62+I63+I65</f>
        <v>75234.64</v>
      </c>
      <c r="K109" s="432">
        <f>+F41+G41+H41+I18+I46+J4+J11+J14+J15+J20+J23+J30+J32+J33+J37+J40+J46+J47+J53+J54+J55+J56+J59+J60+J63+J66+J67+J69+J71+J74+J77+J78+J87+J92+J95+J97+J98+J104</f>
        <v>695387.4600000002</v>
      </c>
      <c r="L109" s="432">
        <f>+J18+J28+K14+K71</f>
        <v>69462.149999999994</v>
      </c>
      <c r="M109" s="432">
        <f>+L14+K18+L32+L40+L69+L95+L104</f>
        <v>74319.41</v>
      </c>
      <c r="N109" s="432">
        <f>+M14+L18+M18+L30+M30+M32+J43+M52+L72</f>
        <v>126562.56</v>
      </c>
      <c r="O109" s="432"/>
      <c r="P109" s="432"/>
      <c r="Q109" s="432"/>
      <c r="R109" s="431"/>
    </row>
    <row r="110" spans="1:41" ht="14">
      <c r="E110" s="402" t="s">
        <v>301</v>
      </c>
      <c r="F110" s="426">
        <f>+SUM(F107:F109)</f>
        <v>2124579.9129999992</v>
      </c>
      <c r="G110" s="430">
        <f>SUM(G107:G109)</f>
        <v>1835901.7299999997</v>
      </c>
      <c r="H110" s="425">
        <f>+SUM(H107:H109)</f>
        <v>1965989.9899999995</v>
      </c>
      <c r="I110" s="430">
        <f>SUM(I107:I109)</f>
        <v>2790171.07</v>
      </c>
      <c r="J110" s="430">
        <f>SUM(J107:J109)</f>
        <v>1036290.1199999998</v>
      </c>
      <c r="K110" s="425">
        <f t="shared" ref="K110:Q110" si="42">+SUM(K107:K109)</f>
        <v>1822964.2000000002</v>
      </c>
      <c r="L110" s="425">
        <f t="shared" si="42"/>
        <v>1138594.4400000002</v>
      </c>
      <c r="M110" s="430">
        <f>+SUM(M107:M109)</f>
        <v>1378439.9700000002</v>
      </c>
      <c r="N110" s="430">
        <f>SUM(N107:N109)</f>
        <v>1812122.1499999994</v>
      </c>
      <c r="O110" s="425">
        <f t="shared" si="42"/>
        <v>0</v>
      </c>
      <c r="P110" s="425">
        <f t="shared" si="42"/>
        <v>0</v>
      </c>
      <c r="Q110" s="425">
        <f t="shared" si="42"/>
        <v>0</v>
      </c>
      <c r="R110" s="425"/>
      <c r="S110" s="476"/>
      <c r="T110" s="476"/>
    </row>
    <row r="111" spans="1:41" ht="14">
      <c r="E111" s="424" t="s">
        <v>304</v>
      </c>
      <c r="F111" s="426">
        <f t="shared" ref="F111:Q111" si="43">+F110/8.5*4</f>
        <v>999802.31199999969</v>
      </c>
      <c r="G111" s="426">
        <f t="shared" si="43"/>
        <v>863953.75529411749</v>
      </c>
      <c r="H111" s="426">
        <f t="shared" si="43"/>
        <v>925171.75999999978</v>
      </c>
      <c r="I111" s="426">
        <f t="shared" si="43"/>
        <v>1313021.68</v>
      </c>
      <c r="J111" s="426">
        <f t="shared" si="43"/>
        <v>487665.93882352929</v>
      </c>
      <c r="K111" s="426">
        <f t="shared" si="43"/>
        <v>857865.50588235306</v>
      </c>
      <c r="L111" s="426">
        <f t="shared" si="43"/>
        <v>535809.14823529415</v>
      </c>
      <c r="M111" s="426">
        <f t="shared" si="43"/>
        <v>648677.63294117653</v>
      </c>
      <c r="N111" s="426">
        <f>+N110/8.5*4</f>
        <v>852763.36470588204</v>
      </c>
      <c r="O111" s="426">
        <f t="shared" si="43"/>
        <v>0</v>
      </c>
      <c r="P111" s="426">
        <f t="shared" si="43"/>
        <v>0</v>
      </c>
      <c r="Q111" s="426">
        <f t="shared" si="43"/>
        <v>0</v>
      </c>
      <c r="R111" s="426"/>
    </row>
    <row r="112" spans="1:41" ht="14">
      <c r="E112" s="424" t="s">
        <v>305</v>
      </c>
      <c r="F112" s="426">
        <f t="shared" ref="F112:Q112" si="44">+F110/8.5*2</f>
        <v>499901.15599999984</v>
      </c>
      <c r="G112" s="426">
        <f t="shared" si="44"/>
        <v>431976.87764705875</v>
      </c>
      <c r="H112" s="426">
        <f t="shared" si="44"/>
        <v>462585.87999999989</v>
      </c>
      <c r="I112" s="426">
        <f t="shared" si="44"/>
        <v>656510.84</v>
      </c>
      <c r="J112" s="426">
        <f t="shared" si="44"/>
        <v>243832.96941176464</v>
      </c>
      <c r="K112" s="426">
        <f t="shared" si="44"/>
        <v>428932.75294117653</v>
      </c>
      <c r="L112" s="426">
        <f t="shared" si="44"/>
        <v>267904.57411764708</v>
      </c>
      <c r="M112" s="426">
        <f t="shared" si="44"/>
        <v>324338.81647058827</v>
      </c>
      <c r="N112" s="426">
        <f t="shared" si="44"/>
        <v>426381.68235294102</v>
      </c>
      <c r="O112" s="426">
        <f t="shared" si="44"/>
        <v>0</v>
      </c>
      <c r="P112" s="426">
        <f t="shared" si="44"/>
        <v>0</v>
      </c>
      <c r="Q112" s="426">
        <f t="shared" si="44"/>
        <v>0</v>
      </c>
      <c r="R112" s="426"/>
    </row>
    <row r="113" spans="2:20" ht="14">
      <c r="E113" s="402" t="s">
        <v>302</v>
      </c>
      <c r="F113" s="428">
        <f t="shared" ref="F113:Q113" si="45">+F111*0.005</f>
        <v>4999.0115599999981</v>
      </c>
      <c r="G113" s="428">
        <f t="shared" si="45"/>
        <v>4319.7687764705879</v>
      </c>
      <c r="H113" s="428">
        <f t="shared" si="45"/>
        <v>4625.8587999999991</v>
      </c>
      <c r="I113" s="428">
        <f t="shared" si="45"/>
        <v>6565.1084000000001</v>
      </c>
      <c r="J113" s="428">
        <f t="shared" si="45"/>
        <v>2438.3296941176463</v>
      </c>
      <c r="K113" s="428">
        <f t="shared" si="45"/>
        <v>4289.3275294117657</v>
      </c>
      <c r="L113" s="428">
        <f t="shared" si="45"/>
        <v>2679.045741176471</v>
      </c>
      <c r="M113" s="428">
        <f t="shared" si="45"/>
        <v>3243.3881647058829</v>
      </c>
      <c r="N113" s="428">
        <f>+N111*0.005</f>
        <v>4263.8168235294106</v>
      </c>
      <c r="O113" s="428">
        <f t="shared" si="45"/>
        <v>0</v>
      </c>
      <c r="P113" s="428">
        <f t="shared" si="45"/>
        <v>0</v>
      </c>
      <c r="Q113" s="428">
        <f t="shared" si="45"/>
        <v>0</v>
      </c>
      <c r="R113" s="428"/>
    </row>
    <row r="114" spans="2:20" ht="14">
      <c r="E114" s="402" t="s">
        <v>702</v>
      </c>
      <c r="F114" s="428">
        <f t="shared" ref="F114:Q114" si="46">+F110/8.5*2</f>
        <v>499901.15599999984</v>
      </c>
      <c r="G114" s="428">
        <f t="shared" si="46"/>
        <v>431976.87764705875</v>
      </c>
      <c r="H114" s="428">
        <f t="shared" si="46"/>
        <v>462585.87999999989</v>
      </c>
      <c r="I114" s="428">
        <f t="shared" si="46"/>
        <v>656510.84</v>
      </c>
      <c r="J114" s="428">
        <f t="shared" si="46"/>
        <v>243832.96941176464</v>
      </c>
      <c r="K114" s="428">
        <f t="shared" si="46"/>
        <v>428932.75294117653</v>
      </c>
      <c r="L114" s="428">
        <f t="shared" si="46"/>
        <v>267904.57411764708</v>
      </c>
      <c r="M114" s="428">
        <f t="shared" si="46"/>
        <v>324338.81647058827</v>
      </c>
      <c r="N114" s="428">
        <f t="shared" si="46"/>
        <v>426381.68235294102</v>
      </c>
      <c r="O114" s="428">
        <f t="shared" si="46"/>
        <v>0</v>
      </c>
      <c r="P114" s="428">
        <f t="shared" si="46"/>
        <v>0</v>
      </c>
      <c r="Q114" s="428">
        <f t="shared" si="46"/>
        <v>0</v>
      </c>
      <c r="R114" s="428"/>
    </row>
    <row r="115" spans="2:20" ht="14">
      <c r="E115" s="402" t="s">
        <v>703</v>
      </c>
      <c r="F115" s="427">
        <f t="shared" ref="F115:Q115" si="47">+F110/8.5*0.5</f>
        <v>124975.28899999996</v>
      </c>
      <c r="G115" s="427">
        <f t="shared" si="47"/>
        <v>107994.21941176469</v>
      </c>
      <c r="H115" s="427">
        <f t="shared" si="47"/>
        <v>115646.46999999997</v>
      </c>
      <c r="I115" s="427">
        <f t="shared" si="47"/>
        <v>164127.71</v>
      </c>
      <c r="J115" s="427">
        <f t="shared" si="47"/>
        <v>60958.242352941161</v>
      </c>
      <c r="K115" s="427">
        <f t="shared" si="47"/>
        <v>107233.18823529413</v>
      </c>
      <c r="L115" s="427">
        <f t="shared" si="47"/>
        <v>66976.143529411769</v>
      </c>
      <c r="M115" s="427">
        <f t="shared" si="47"/>
        <v>81084.704117647067</v>
      </c>
      <c r="N115" s="427">
        <f t="shared" si="47"/>
        <v>106595.42058823525</v>
      </c>
      <c r="O115" s="427">
        <f t="shared" si="47"/>
        <v>0</v>
      </c>
      <c r="P115" s="427">
        <f t="shared" si="47"/>
        <v>0</v>
      </c>
      <c r="Q115" s="427">
        <f t="shared" si="47"/>
        <v>0</v>
      </c>
      <c r="R115" s="426"/>
    </row>
    <row r="116" spans="2:20" ht="14">
      <c r="E116" s="402" t="s">
        <v>303</v>
      </c>
      <c r="F116" s="426">
        <f t="shared" ref="F116:Q116" si="48">+F111-F113</f>
        <v>994803.30043999967</v>
      </c>
      <c r="G116" s="425">
        <f t="shared" si="48"/>
        <v>859633.98651764693</v>
      </c>
      <c r="H116" s="425">
        <f t="shared" si="48"/>
        <v>920545.90119999973</v>
      </c>
      <c r="I116" s="425">
        <f t="shared" si="48"/>
        <v>1306456.5715999999</v>
      </c>
      <c r="J116" s="425">
        <f t="shared" si="48"/>
        <v>485227.60912941163</v>
      </c>
      <c r="K116" s="425">
        <f t="shared" si="48"/>
        <v>853576.17835294129</v>
      </c>
      <c r="L116" s="425">
        <f t="shared" si="48"/>
        <v>533130.10249411769</v>
      </c>
      <c r="M116" s="425">
        <f t="shared" si="48"/>
        <v>645434.2447764707</v>
      </c>
      <c r="N116" s="425">
        <f t="shared" si="48"/>
        <v>848499.54788235261</v>
      </c>
      <c r="O116" s="425">
        <f t="shared" si="48"/>
        <v>0</v>
      </c>
      <c r="P116" s="425">
        <f t="shared" si="48"/>
        <v>0</v>
      </c>
      <c r="Q116" s="425">
        <f t="shared" si="48"/>
        <v>0</v>
      </c>
      <c r="R116" s="425"/>
    </row>
    <row r="117" spans="2:20" ht="14">
      <c r="B117" s="412"/>
      <c r="E117" s="402"/>
      <c r="F117" s="428"/>
      <c r="G117" s="428"/>
      <c r="H117" s="428"/>
      <c r="I117" s="428"/>
    </row>
    <row r="118" spans="2:20" ht="14">
      <c r="E118" s="402" t="s">
        <v>637</v>
      </c>
      <c r="F118" s="540">
        <v>994803.3</v>
      </c>
      <c r="G118" s="540">
        <v>859633.99</v>
      </c>
      <c r="H118" s="540">
        <v>920545.9</v>
      </c>
      <c r="I118" s="540">
        <v>1306456.57</v>
      </c>
      <c r="J118" s="540">
        <v>485227.61</v>
      </c>
      <c r="K118" s="540">
        <v>853576.18</v>
      </c>
      <c r="L118" s="577">
        <v>533130.1</v>
      </c>
      <c r="M118" s="412">
        <v>645434.24</v>
      </c>
      <c r="N118" s="412">
        <v>848499.55</v>
      </c>
    </row>
    <row r="119" spans="2:20" ht="14">
      <c r="E119" s="402" t="s">
        <v>648</v>
      </c>
      <c r="F119" s="540">
        <f t="shared" ref="F119:Q119" si="49">+F116-F118</f>
        <v>4.3999962508678436E-4</v>
      </c>
      <c r="G119" s="540">
        <f t="shared" si="49"/>
        <v>-3.4823530586436391E-3</v>
      </c>
      <c r="H119" s="540">
        <f t="shared" si="49"/>
        <v>1.1999997077509761E-3</v>
      </c>
      <c r="I119" s="540">
        <f t="shared" si="49"/>
        <v>1.5999998431652784E-3</v>
      </c>
      <c r="J119" s="540">
        <f t="shared" si="49"/>
        <v>-8.7058835197240114E-4</v>
      </c>
      <c r="K119" s="574">
        <f t="shared" si="49"/>
        <v>-1.6470587579533458E-3</v>
      </c>
      <c r="L119" s="429">
        <f t="shared" si="49"/>
        <v>2.4941177107393742E-3</v>
      </c>
      <c r="M119" s="429">
        <f t="shared" si="49"/>
        <v>4.7764707123860717E-3</v>
      </c>
      <c r="N119" s="429">
        <f t="shared" si="49"/>
        <v>-2.1176474401727319E-3</v>
      </c>
      <c r="O119" s="429">
        <f t="shared" si="49"/>
        <v>0</v>
      </c>
      <c r="P119" s="429">
        <f t="shared" si="49"/>
        <v>0</v>
      </c>
      <c r="Q119" s="429">
        <f t="shared" si="49"/>
        <v>0</v>
      </c>
      <c r="R119" s="429"/>
      <c r="S119" s="460"/>
      <c r="T119" s="460"/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W85"/>
  <sheetViews>
    <sheetView workbookViewId="0">
      <pane xSplit="1" ySplit="2" topLeftCell="B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9.08984375" defaultRowHeight="10"/>
  <cols>
    <col min="1" max="1" width="31" style="1" bestFit="1" customWidth="1"/>
    <col min="2" max="2" width="16.6328125" style="1" bestFit="1" customWidth="1"/>
    <col min="3" max="3" width="13.54296875" style="1" bestFit="1" customWidth="1"/>
    <col min="4" max="4" width="10.6328125" style="1" bestFit="1" customWidth="1"/>
    <col min="5" max="5" width="12" style="1" bestFit="1" customWidth="1"/>
    <col min="6" max="8" width="10.6328125" style="1" bestFit="1" customWidth="1"/>
    <col min="9" max="13" width="9.90625" style="1" bestFit="1" customWidth="1"/>
    <col min="14" max="14" width="11.08984375" style="1" bestFit="1" customWidth="1"/>
    <col min="15" max="15" width="4.6328125" style="1" hidden="1" customWidth="1"/>
    <col min="16" max="16" width="9.90625" style="1" hidden="1" customWidth="1"/>
    <col min="17" max="17" width="8.6328125" style="76" hidden="1" customWidth="1"/>
    <col min="18" max="18" width="0" style="1" hidden="1" customWidth="1"/>
    <col min="19" max="19" width="9.90625" style="1" hidden="1" customWidth="1"/>
    <col min="20" max="20" width="14" style="1" bestFit="1" customWidth="1"/>
    <col min="21" max="16384" width="9.08984375" style="1"/>
  </cols>
  <sheetData>
    <row r="1" spans="1:21" ht="10.5">
      <c r="A1" s="77" t="s">
        <v>319</v>
      </c>
      <c r="B1" s="589" t="s">
        <v>836</v>
      </c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</row>
    <row r="2" spans="1:21" s="17" customFormat="1" ht="12.75" customHeight="1">
      <c r="A2" s="15" t="s">
        <v>306</v>
      </c>
      <c r="B2" s="16" t="s">
        <v>307</v>
      </c>
      <c r="C2" s="16" t="s">
        <v>308</v>
      </c>
      <c r="D2" s="16" t="s">
        <v>309</v>
      </c>
      <c r="E2" s="16" t="s">
        <v>310</v>
      </c>
      <c r="F2" s="16" t="s">
        <v>311</v>
      </c>
      <c r="G2" s="16" t="s">
        <v>312</v>
      </c>
      <c r="H2" s="62" t="s">
        <v>313</v>
      </c>
      <c r="I2" s="62" t="s">
        <v>314</v>
      </c>
      <c r="J2" s="63" t="s">
        <v>318</v>
      </c>
      <c r="K2" s="62" t="s">
        <v>315</v>
      </c>
      <c r="L2" s="62" t="s">
        <v>316</v>
      </c>
      <c r="M2" s="62" t="s">
        <v>317</v>
      </c>
      <c r="N2" s="64" t="s">
        <v>143</v>
      </c>
      <c r="O2" s="64"/>
      <c r="P2" s="64" t="s">
        <v>142</v>
      </c>
      <c r="Q2" s="64" t="s">
        <v>366</v>
      </c>
    </row>
    <row r="3" spans="1:21">
      <c r="A3" s="4">
        <v>2000</v>
      </c>
      <c r="B3" s="72">
        <f>+'2000'!C72</f>
        <v>464795.65000000008</v>
      </c>
      <c r="C3" s="73">
        <f>+'2000'!D72</f>
        <v>407488.18000000011</v>
      </c>
      <c r="D3" s="73">
        <f>+'2000'!E72</f>
        <v>424635.15000000008</v>
      </c>
      <c r="E3" s="73">
        <f>+'2000'!F72</f>
        <v>509552.56999999995</v>
      </c>
      <c r="F3" s="73">
        <f>+'2000'!G72</f>
        <v>399516.92999999993</v>
      </c>
      <c r="G3" s="72">
        <f>+'2000'!H72</f>
        <v>302664.98</v>
      </c>
      <c r="H3" s="72">
        <f>+'2000'!I72</f>
        <v>273637.28000000003</v>
      </c>
      <c r="I3" s="72">
        <f>+'2000'!J72</f>
        <v>293023.71999999991</v>
      </c>
      <c r="J3" s="72">
        <f>+'2000'!K72</f>
        <v>375674.92</v>
      </c>
      <c r="K3" s="72">
        <f>+'2000'!L72</f>
        <v>446939.74000000011</v>
      </c>
      <c r="L3" s="72">
        <f>+'2000'!M72</f>
        <v>486181.08999999991</v>
      </c>
      <c r="M3" s="72">
        <f>+'2000'!N72</f>
        <v>429605.09999999992</v>
      </c>
      <c r="N3" s="74">
        <f t="shared" ref="N3:N17" si="0">+SUM(B3:M3)</f>
        <v>4813715.3099999996</v>
      </c>
      <c r="O3" s="1">
        <f t="shared" ref="O3:O12" si="1">COUNT(B3:M3)</f>
        <v>12</v>
      </c>
      <c r="P3" s="72">
        <f t="shared" ref="P3:P11" si="2">+N3/O3</f>
        <v>401142.94249999995</v>
      </c>
      <c r="T3" s="70"/>
    </row>
    <row r="4" spans="1:21">
      <c r="A4" s="4">
        <v>2001</v>
      </c>
      <c r="B4" s="72">
        <f>+'2001'!C72/6*4</f>
        <v>306134.52000000008</v>
      </c>
      <c r="C4" s="72">
        <f>+'2001'!D72/6*4</f>
        <v>290599.44666666677</v>
      </c>
      <c r="D4" s="72">
        <f>+'2001'!E72/6*4</f>
        <v>301691.02666666661</v>
      </c>
      <c r="E4" s="72">
        <f>+'2001'!F72/6*4</f>
        <v>423062.30666666658</v>
      </c>
      <c r="F4" s="72">
        <f>+'2001'!G72/6*4</f>
        <v>319018.80000000005</v>
      </c>
      <c r="G4" s="72">
        <f>+'2001'!H72/6*4</f>
        <v>231608.21333333335</v>
      </c>
      <c r="H4" s="72">
        <f>+'2001'!I72/6*4</f>
        <v>216497.11333333337</v>
      </c>
      <c r="I4" s="72">
        <f>+'2001'!J72/6*4</f>
        <v>225192.31999999995</v>
      </c>
      <c r="J4" s="72">
        <f>+'2001'!K72/6*4</f>
        <v>310490.42666666658</v>
      </c>
      <c r="K4" s="72">
        <f>+'2001'!L72/6*4</f>
        <v>396792.6866666667</v>
      </c>
      <c r="L4" s="72">
        <f>+'2001'!M72/6*4</f>
        <v>362443.80666666682</v>
      </c>
      <c r="M4" s="72">
        <f>+'2001'!N72/6*4</f>
        <v>339242.17999999993</v>
      </c>
      <c r="N4" s="74">
        <f t="shared" si="0"/>
        <v>3722772.8466666667</v>
      </c>
      <c r="O4" s="1">
        <f t="shared" si="1"/>
        <v>12</v>
      </c>
      <c r="P4" s="72">
        <f t="shared" si="2"/>
        <v>310231.07055555558</v>
      </c>
      <c r="Q4" s="76">
        <f>(N4/N3)-1</f>
        <v>-0.22663211118177506</v>
      </c>
      <c r="R4" s="139">
        <v>2.4499999999999999E-4</v>
      </c>
      <c r="T4" s="204"/>
    </row>
    <row r="5" spans="1:21">
      <c r="A5" s="4">
        <v>2002</v>
      </c>
      <c r="B5" s="72">
        <f>+'2002'!C72/6*4</f>
        <v>388656.02666666661</v>
      </c>
      <c r="C5" s="73">
        <f>+'2002'!D72/6*4</f>
        <v>325526.71333333338</v>
      </c>
      <c r="D5" s="73">
        <f>+'2002'!E72/6*4</f>
        <v>324404.70666666667</v>
      </c>
      <c r="E5" s="73">
        <f>+'2002'!F72/6*4</f>
        <v>373381.60000000009</v>
      </c>
      <c r="F5" s="73">
        <f>+'2002'!G72/6*4</f>
        <v>286627.47333333321</v>
      </c>
      <c r="G5" s="72">
        <f>+'2002'!H72/6*4</f>
        <v>234725.87333333338</v>
      </c>
      <c r="H5" s="72">
        <f>+'2002'!I72/6*4</f>
        <v>205372.58</v>
      </c>
      <c r="I5" s="72">
        <f>+'2002'!J72/6*4</f>
        <v>221406.41333333324</v>
      </c>
      <c r="J5" s="72">
        <f>+'2002'!K72/6*4</f>
        <v>332716.27999999997</v>
      </c>
      <c r="K5" s="72">
        <f>+'2002'!L72/6*4</f>
        <v>390183.79333333328</v>
      </c>
      <c r="L5" s="72">
        <f>+'2002'!M72/6*4</f>
        <v>384366.08666666661</v>
      </c>
      <c r="M5" s="72">
        <f>+'2002'!N72/6*4</f>
        <v>292108.59333333327</v>
      </c>
      <c r="N5" s="74">
        <f t="shared" si="0"/>
        <v>3759476.1399999992</v>
      </c>
      <c r="O5" s="1">
        <f t="shared" si="1"/>
        <v>12</v>
      </c>
      <c r="P5" s="72">
        <f t="shared" si="2"/>
        <v>313289.67833333329</v>
      </c>
      <c r="Q5" s="76">
        <f>(N5/N4)-1</f>
        <v>9.8591278181789921E-3</v>
      </c>
      <c r="R5" s="139">
        <v>2.4499999999999999E-4</v>
      </c>
      <c r="S5" s="74">
        <f t="shared" ref="S5:S14" si="3">+N4*(1+R5)</f>
        <v>3723684.9260141002</v>
      </c>
      <c r="T5" s="204"/>
    </row>
    <row r="6" spans="1:21">
      <c r="A6" s="4">
        <v>2003</v>
      </c>
      <c r="B6" s="72">
        <f>+'2003'!C73/6*4</f>
        <v>353706.08666666673</v>
      </c>
      <c r="C6" s="72">
        <f>+'2003'!D73/6*4</f>
        <v>341848.54666666669</v>
      </c>
      <c r="D6" s="72">
        <f>+'2003'!E73/6*4</f>
        <v>332301.13333333348</v>
      </c>
      <c r="E6" s="72">
        <f>+'2003'!F73/6*4</f>
        <v>408753.06666666659</v>
      </c>
      <c r="F6" s="72">
        <f>+'2003'!G73/6*4</f>
        <v>323528.7866666668</v>
      </c>
      <c r="G6" s="72">
        <f>+'2003'!H73/6*4</f>
        <v>249890.01333333331</v>
      </c>
      <c r="H6" s="72">
        <f>+'2003'!I73/6*4</f>
        <v>297741.17999999988</v>
      </c>
      <c r="I6" s="72">
        <f>+'2003'!J73/6*4</f>
        <v>291128.66666666663</v>
      </c>
      <c r="J6" s="72">
        <f>+'2003'!K73/6*4</f>
        <v>326393.65999999997</v>
      </c>
      <c r="K6" s="72">
        <f>+'2003'!L73/6*4</f>
        <v>420786.83333333349</v>
      </c>
      <c r="L6" s="72">
        <f>+'2003'!M73/6*4</f>
        <v>373180.38000000006</v>
      </c>
      <c r="M6" s="72">
        <f>+'2003'!N73/6*4</f>
        <v>344702.52666666661</v>
      </c>
      <c r="N6" s="74">
        <f t="shared" si="0"/>
        <v>4063960.88</v>
      </c>
      <c r="O6" s="1">
        <f t="shared" si="1"/>
        <v>12</v>
      </c>
      <c r="P6" s="72">
        <f t="shared" si="2"/>
        <v>338663.40666666668</v>
      </c>
      <c r="Q6" s="76">
        <f t="shared" ref="Q6:Q13" si="4">(N6/N5)-1</f>
        <v>8.0991268107902137E-2</v>
      </c>
      <c r="R6" s="139">
        <v>2.4499999999999999E-4</v>
      </c>
      <c r="S6" s="74">
        <f t="shared" si="3"/>
        <v>3760397.2116542994</v>
      </c>
      <c r="T6" s="204"/>
    </row>
    <row r="7" spans="1:21">
      <c r="A7" s="4">
        <v>2004</v>
      </c>
      <c r="B7" s="72">
        <f>+'2004'!C75/6*4</f>
        <v>369783.44666666671</v>
      </c>
      <c r="C7" s="72">
        <f>+'2004'!D75/6*4</f>
        <v>344107.7</v>
      </c>
      <c r="D7" s="72">
        <f>+'2004'!E75/6*4</f>
        <v>376091.56000000011</v>
      </c>
      <c r="E7" s="72">
        <f>+'2004'!F75/6*4</f>
        <v>403225.81733333349</v>
      </c>
      <c r="F7" s="72">
        <f>+'2004'!G75/6*4</f>
        <v>313137.47999999992</v>
      </c>
      <c r="G7" s="72">
        <f>+'2004'!H75/6*4</f>
        <v>252699.10666666669</v>
      </c>
      <c r="H7" s="72">
        <f>+'2004'!I75/6*4</f>
        <v>229549.61999999997</v>
      </c>
      <c r="I7" s="72">
        <f>+'2004'!J75/6*4</f>
        <v>270892.44</v>
      </c>
      <c r="J7" s="72">
        <f>+'2004'!K75/6*4</f>
        <v>331606.99333333346</v>
      </c>
      <c r="K7" s="72">
        <f>+'2004'!L75/6*4</f>
        <v>435100.58666666667</v>
      </c>
      <c r="L7" s="72">
        <f>+'2004'!M75/6*4</f>
        <v>411484.09333333344</v>
      </c>
      <c r="M7" s="72">
        <f>+'2004'!N75/6*4</f>
        <v>375631.38666666672</v>
      </c>
      <c r="N7" s="74">
        <f t="shared" si="0"/>
        <v>4113310.2306666668</v>
      </c>
      <c r="O7" s="1">
        <f t="shared" si="1"/>
        <v>12</v>
      </c>
      <c r="P7" s="72">
        <f t="shared" si="2"/>
        <v>342775.85255555558</v>
      </c>
      <c r="Q7" s="76">
        <f t="shared" si="4"/>
        <v>1.2143165774437081E-2</v>
      </c>
      <c r="R7" s="139">
        <v>2.4499999999999999E-4</v>
      </c>
      <c r="S7" s="74">
        <f t="shared" si="3"/>
        <v>4064956.5504156002</v>
      </c>
      <c r="T7" s="204"/>
    </row>
    <row r="8" spans="1:21">
      <c r="A8" s="42">
        <v>2005</v>
      </c>
      <c r="B8" s="72">
        <f>+'2005'!C74/6*4</f>
        <v>438179.36666666652</v>
      </c>
      <c r="C8" s="72">
        <f>+'2005'!D74/6*4</f>
        <v>368011.85333333327</v>
      </c>
      <c r="D8" s="72">
        <f>+'2005'!E74/6*4</f>
        <v>390079.87333333335</v>
      </c>
      <c r="E8" s="72">
        <f>+'2005'!F74/6*4</f>
        <v>510314.58000000007</v>
      </c>
      <c r="F8" s="72">
        <f>+'2005'!G74/6*4</f>
        <v>386320.82000000024</v>
      </c>
      <c r="G8" s="72">
        <f>+'2005'!H74/6*4</f>
        <v>322409.80400000012</v>
      </c>
      <c r="H8" s="72">
        <f>+'2005'!I74/6*4</f>
        <v>232745.56666666668</v>
      </c>
      <c r="I8" s="72">
        <f>+'2005'!J74/6*4</f>
        <v>288481.31333333341</v>
      </c>
      <c r="J8" s="72">
        <f>+'2005'!K74/6*4</f>
        <v>358952.05999999988</v>
      </c>
      <c r="K8" s="72">
        <f>+'2005'!L74/6*4</f>
        <v>460198.10000000009</v>
      </c>
      <c r="L8" s="72">
        <f>+'2005'!M74/6*4</f>
        <v>445107.96</v>
      </c>
      <c r="M8" s="72">
        <f>+'2005'!N74/6*4</f>
        <v>421139.17999999988</v>
      </c>
      <c r="N8" s="74">
        <f t="shared" si="0"/>
        <v>4621940.4773333343</v>
      </c>
      <c r="O8" s="1">
        <f t="shared" si="1"/>
        <v>12</v>
      </c>
      <c r="P8" s="72">
        <f t="shared" si="2"/>
        <v>385161.70644444454</v>
      </c>
      <c r="Q8" s="76">
        <f t="shared" si="4"/>
        <v>0.12365472530483834</v>
      </c>
      <c r="R8" s="139">
        <v>2.4499999999999999E-4</v>
      </c>
      <c r="S8" s="74">
        <f t="shared" si="3"/>
        <v>4114317.9916731804</v>
      </c>
      <c r="T8" s="204"/>
    </row>
    <row r="9" spans="1:21">
      <c r="A9" s="4">
        <v>2006</v>
      </c>
      <c r="B9" s="72">
        <f>+'2006'!C76/6*4</f>
        <v>471973.83333333343</v>
      </c>
      <c r="C9" s="72">
        <f>+'2006'!D76/6*4</f>
        <v>368101.76666666655</v>
      </c>
      <c r="D9" s="73">
        <f>+'2006'!E76/6*4</f>
        <v>405305.86666666664</v>
      </c>
      <c r="E9" s="73">
        <f>+'2006'!F76/6*4</f>
        <v>468730.41866666666</v>
      </c>
      <c r="F9" s="72">
        <f>+'2006'!G76/6*4</f>
        <v>325097.3466666665</v>
      </c>
      <c r="G9" s="72">
        <f>+'2006'!H76/6*4</f>
        <v>248918.67333333319</v>
      </c>
      <c r="H9" s="72">
        <f>+'2006'!I76/6*4</f>
        <v>239608.72666666665</v>
      </c>
      <c r="I9" s="72">
        <f>+'2006'!J76/6*4</f>
        <v>280488.8666666667</v>
      </c>
      <c r="J9" s="72">
        <f>+'2006'!K76/6*4</f>
        <v>355277.16666666669</v>
      </c>
      <c r="K9" s="72">
        <f>+'2006'!L76/6*4</f>
        <v>467810.40666666679</v>
      </c>
      <c r="L9" s="72">
        <f>+'2006'!M76/6*4</f>
        <v>442264.80399999995</v>
      </c>
      <c r="M9" s="72">
        <f>+'2006'!N76/6*4</f>
        <v>389437.68533333339</v>
      </c>
      <c r="N9" s="74">
        <f t="shared" si="0"/>
        <v>4463015.5613333322</v>
      </c>
      <c r="O9" s="1">
        <f t="shared" si="1"/>
        <v>12</v>
      </c>
      <c r="P9" s="72">
        <f t="shared" si="2"/>
        <v>371917.96344444435</v>
      </c>
      <c r="Q9" s="76">
        <f t="shared" si="4"/>
        <v>-3.4384890238070565E-2</v>
      </c>
      <c r="R9" s="139">
        <v>2.4499999999999999E-4</v>
      </c>
      <c r="S9" s="74">
        <f t="shared" si="3"/>
        <v>4623072.8527502809</v>
      </c>
      <c r="T9" s="204"/>
    </row>
    <row r="10" spans="1:21">
      <c r="A10" s="4">
        <v>2007</v>
      </c>
      <c r="B10" s="72">
        <f>+'2007'!C76/6*4</f>
        <v>453398.44666666683</v>
      </c>
      <c r="C10" s="72">
        <f>+'2007'!D76/6*4</f>
        <v>407976.38666666677</v>
      </c>
      <c r="D10" s="72">
        <f>+'2007'!E76/6*4</f>
        <v>493436.99999999983</v>
      </c>
      <c r="E10" s="72">
        <f>+'2007'!F76/6*4</f>
        <v>491820.5026666667</v>
      </c>
      <c r="F10" s="72">
        <f>+'2007'!G76/6*4</f>
        <v>362287.04666666687</v>
      </c>
      <c r="G10" s="72">
        <f>+'2007'!H76/6*4</f>
        <v>267473.89333333349</v>
      </c>
      <c r="H10" s="72">
        <f>+'2007'!I76/6*4</f>
        <v>278573.62666666665</v>
      </c>
      <c r="I10" s="72">
        <f>+'2007'!J76/6*4</f>
        <v>318982.89333333337</v>
      </c>
      <c r="J10" s="72">
        <f>+'2007'!K76/6*4</f>
        <v>429525.54666666657</v>
      </c>
      <c r="K10" s="72">
        <f>+'2007'!L76/6*4</f>
        <v>492815.07333333319</v>
      </c>
      <c r="L10" s="72">
        <f>+'2007'!M76/6*4</f>
        <v>494703.52666666656</v>
      </c>
      <c r="M10" s="72">
        <f>+'2007'!N76/6*4</f>
        <v>445025.69333333342</v>
      </c>
      <c r="N10" s="74">
        <f t="shared" si="0"/>
        <v>4936019.6359999999</v>
      </c>
      <c r="O10" s="1">
        <f t="shared" si="1"/>
        <v>12</v>
      </c>
      <c r="P10" s="72">
        <f t="shared" si="2"/>
        <v>411334.96966666664</v>
      </c>
      <c r="Q10" s="76">
        <f t="shared" si="4"/>
        <v>0.10598306641918964</v>
      </c>
      <c r="R10" s="139">
        <v>2.4499999999999999E-4</v>
      </c>
      <c r="S10" s="74">
        <f t="shared" si="3"/>
        <v>4464109.0001458591</v>
      </c>
      <c r="T10" s="204"/>
    </row>
    <row r="11" spans="1:21">
      <c r="A11" s="4">
        <v>2008</v>
      </c>
      <c r="B11" s="72">
        <f>+'2008'!C80/6*4</f>
        <v>461037.55466666661</v>
      </c>
      <c r="C11" s="72">
        <f>+'2008'!D80/6*4</f>
        <v>414472.11333333323</v>
      </c>
      <c r="D11" s="72">
        <f>+'2008'!E80/6*4</f>
        <v>508588.99333333317</v>
      </c>
      <c r="E11" s="72">
        <f>+'2008'!F80/6*4</f>
        <v>560953.08666666679</v>
      </c>
      <c r="F11" s="72">
        <f>+'2008'!G80/6*4</f>
        <v>399123.92</v>
      </c>
      <c r="G11" s="72">
        <f>+'2008'!H80/6*4</f>
        <v>257074.24666666662</v>
      </c>
      <c r="H11" s="72">
        <f>+'2008'!I80/6*4</f>
        <v>277605.44000000006</v>
      </c>
      <c r="I11" s="72">
        <f>+'2008'!J80/6*4</f>
        <v>307924.12666666665</v>
      </c>
      <c r="J11" s="72">
        <f>+'2008'!K80/6*4</f>
        <v>399530.24666666659</v>
      </c>
      <c r="K11" s="72">
        <f>+'2008'!L80/6*4</f>
        <v>541391.68000000005</v>
      </c>
      <c r="L11" s="72">
        <f>+'2008'!M80/6*4</f>
        <v>476739.12000000005</v>
      </c>
      <c r="M11" s="72">
        <f>+'2008'!N80/6*4</f>
        <v>424555.70666666661</v>
      </c>
      <c r="N11" s="74">
        <f t="shared" si="0"/>
        <v>5028996.234666666</v>
      </c>
      <c r="O11" s="1">
        <f t="shared" si="1"/>
        <v>12</v>
      </c>
      <c r="P11" s="72">
        <f t="shared" si="2"/>
        <v>419083.01955555548</v>
      </c>
      <c r="Q11" s="76">
        <f t="shared" si="4"/>
        <v>1.8836351052689881E-2</v>
      </c>
      <c r="R11" s="139">
        <v>2.4499999999999999E-4</v>
      </c>
      <c r="S11" s="74">
        <f t="shared" si="3"/>
        <v>4937228.9608108206</v>
      </c>
      <c r="T11" s="204"/>
    </row>
    <row r="12" spans="1:21">
      <c r="A12" s="4">
        <v>2009</v>
      </c>
      <c r="B12" s="72">
        <f>+'2009'!E76/6*4</f>
        <v>504629.33333333331</v>
      </c>
      <c r="C12" s="72">
        <f>+'2009'!F76/6*4</f>
        <v>439028.31333333318</v>
      </c>
      <c r="D12" s="72">
        <f>+'2009'!G76/6*4</f>
        <v>533528.20666666655</v>
      </c>
      <c r="E12" s="72">
        <f>+'2009'!H76/6*4</f>
        <v>526872.21333333314</v>
      </c>
      <c r="F12" s="72">
        <f>+'2009'!I76/6*4</f>
        <v>349122.72666666674</v>
      </c>
      <c r="G12" s="72">
        <f>+'2009'!J76/6*4</f>
        <v>252148.68666666668</v>
      </c>
      <c r="H12" s="72">
        <f>+'2009'!K76/6*4</f>
        <v>276840.42000000004</v>
      </c>
      <c r="I12" s="72">
        <f>+'2009'!L76/6*4</f>
        <v>304042.1866666667</v>
      </c>
      <c r="J12" s="72">
        <f>+'2009'!M76/6*4</f>
        <v>367241.72666666657</v>
      </c>
      <c r="K12" s="72">
        <f>+'2009'!N76/6*4</f>
        <v>462476.68</v>
      </c>
      <c r="L12" s="72">
        <f>+'2009'!O76/6*4</f>
        <v>403177.32000000007</v>
      </c>
      <c r="M12" s="72">
        <f>+'2009'!P76/6*4</f>
        <v>381313.31999999989</v>
      </c>
      <c r="N12" s="74">
        <f t="shared" si="0"/>
        <v>4800421.1333333328</v>
      </c>
      <c r="O12" s="1">
        <f t="shared" si="1"/>
        <v>12</v>
      </c>
      <c r="P12" s="72">
        <f>+N13/O12</f>
        <v>409871.09000000008</v>
      </c>
      <c r="Q12" s="76">
        <f t="shared" si="4"/>
        <v>-4.5451436164871906E-2</v>
      </c>
      <c r="R12" s="139">
        <v>2.4499999999999999E-4</v>
      </c>
      <c r="S12" s="74">
        <f t="shared" si="3"/>
        <v>5030228.3387441598</v>
      </c>
      <c r="T12" s="204"/>
    </row>
    <row r="13" spans="1:21">
      <c r="A13" s="4">
        <v>2010</v>
      </c>
      <c r="B13" s="72">
        <f>+'2010'!F77/6*4</f>
        <v>458431.82</v>
      </c>
      <c r="C13" s="72">
        <f>+'2010'!G77/6*4</f>
        <v>404022.79333333328</v>
      </c>
      <c r="D13" s="72">
        <f>+'2010'!H77/6*4</f>
        <v>476833.39333333325</v>
      </c>
      <c r="E13" s="72">
        <f>+'2010'!I77/6*4</f>
        <v>518229.01333333337</v>
      </c>
      <c r="F13" s="72">
        <f>+'2010'!J77/6*4</f>
        <v>337687.61999999994</v>
      </c>
      <c r="G13" s="72">
        <f>+'2010'!K77/6*4</f>
        <v>246710.47333333339</v>
      </c>
      <c r="H13" s="72">
        <f>+'2010'!L77/6*4</f>
        <v>271179.49999999994</v>
      </c>
      <c r="I13" s="72">
        <f>+'2010'!M77/6*4</f>
        <v>304274.40666666673</v>
      </c>
      <c r="J13" s="72">
        <f>+'2010'!N77/6*4</f>
        <v>422042.68666666676</v>
      </c>
      <c r="K13" s="72">
        <f>+'2010'!O77/6*4</f>
        <v>519158.28</v>
      </c>
      <c r="L13" s="72">
        <f>+'2010'!P77/6*4</f>
        <v>486124.02000000019</v>
      </c>
      <c r="M13" s="72">
        <f>+'2010'!Q77/6*4</f>
        <v>473759.07333333325</v>
      </c>
      <c r="N13" s="74">
        <f t="shared" si="0"/>
        <v>4918453.080000001</v>
      </c>
      <c r="P13" s="72"/>
      <c r="Q13" s="76">
        <f t="shared" si="4"/>
        <v>2.4587831648159808E-2</v>
      </c>
      <c r="R13" s="139">
        <v>2.4499999999999999E-4</v>
      </c>
      <c r="S13" s="74">
        <f t="shared" si="3"/>
        <v>4801597.2365109995</v>
      </c>
      <c r="T13" s="204"/>
      <c r="U13" s="70"/>
    </row>
    <row r="14" spans="1:21">
      <c r="A14" s="4">
        <v>2011</v>
      </c>
      <c r="B14" s="72">
        <f>+'2011'!F81/6*4</f>
        <v>513848.60000000003</v>
      </c>
      <c r="C14" s="72">
        <f>+'2011'!G81/6*4</f>
        <v>447054.51333333337</v>
      </c>
      <c r="D14" s="72">
        <f>+'2011'!H81/6*4</f>
        <v>712215.66</v>
      </c>
      <c r="E14" s="72">
        <f>+'2011'!I81/6*4</f>
        <v>952180.30666666664</v>
      </c>
      <c r="F14" s="72">
        <f>+'2011'!J81/6*4</f>
        <v>401091.18666666659</v>
      </c>
      <c r="G14" s="72">
        <f>+'2011'!K81/6*4</f>
        <v>290608.82000000012</v>
      </c>
      <c r="H14" s="72">
        <f>+'2011'!L81/6*4</f>
        <v>260514.37333333329</v>
      </c>
      <c r="I14" s="72">
        <f>+'2011'!M81/6*4</f>
        <v>301979.09333333332</v>
      </c>
      <c r="J14" s="72">
        <f>+'2011'!N81/6*4</f>
        <v>406391.48666666681</v>
      </c>
      <c r="K14" s="72">
        <f>+'2011'!O81/6*4</f>
        <v>481665.06000000006</v>
      </c>
      <c r="L14" s="72">
        <f>+'2011'!P81/6*4</f>
        <v>528057.95333333348</v>
      </c>
      <c r="M14" s="72">
        <f>+'2011'!Q81/6*4</f>
        <v>418239.00666666683</v>
      </c>
      <c r="N14" s="74">
        <f t="shared" si="0"/>
        <v>5713846.0599999996</v>
      </c>
      <c r="P14" s="72"/>
      <c r="R14" s="139">
        <v>2.4499999999999999E-4</v>
      </c>
      <c r="S14" s="74">
        <f t="shared" si="3"/>
        <v>4919658.1010046015</v>
      </c>
      <c r="T14" s="204"/>
    </row>
    <row r="15" spans="1:21">
      <c r="A15" s="4">
        <v>2012</v>
      </c>
      <c r="B15" s="72">
        <f>+'2012'!F86</f>
        <v>519903.23333333345</v>
      </c>
      <c r="C15" s="72">
        <f>+'2012'!H86</f>
        <v>464230.43333333317</v>
      </c>
      <c r="D15" s="72">
        <f>+'2012'!I86</f>
        <v>476696.14666666696</v>
      </c>
      <c r="E15" s="72">
        <f>+'2012'!J86</f>
        <v>544661.90666666662</v>
      </c>
      <c r="F15" s="72">
        <f>+'2012'!K86</f>
        <v>379425.62666666665</v>
      </c>
      <c r="G15" s="72">
        <f>+'2012'!L86</f>
        <v>326995.21333333338</v>
      </c>
      <c r="H15" s="72">
        <f>+'2012'!M86</f>
        <v>310127.16666666669</v>
      </c>
      <c r="I15" s="72">
        <f>+'2012'!N86</f>
        <v>334076.98000000004</v>
      </c>
      <c r="J15" s="72">
        <f>+'2012'!O86</f>
        <v>437792.56666666671</v>
      </c>
      <c r="K15" s="72">
        <f>+'2012'!P86</f>
        <v>515906.66666666669</v>
      </c>
      <c r="L15" s="72">
        <f>+'2012'!Q86</f>
        <v>608899.38666666683</v>
      </c>
      <c r="M15" s="72">
        <f>+'2012'!R86</f>
        <v>461662.97333333344</v>
      </c>
      <c r="N15" s="74">
        <f t="shared" si="0"/>
        <v>5380378.3000000007</v>
      </c>
      <c r="P15" s="72"/>
      <c r="R15" s="139"/>
      <c r="S15" s="74"/>
      <c r="T15" s="204"/>
    </row>
    <row r="16" spans="1:21">
      <c r="A16" s="4">
        <v>2013</v>
      </c>
      <c r="B16" s="72">
        <f>+'2013'!F90</f>
        <v>557029.24</v>
      </c>
      <c r="C16" s="72">
        <f>+'2013'!H90</f>
        <v>462989.37999999995</v>
      </c>
      <c r="D16" s="72">
        <f>+'2013'!I90</f>
        <v>492140.49333333346</v>
      </c>
      <c r="E16" s="72">
        <f>+'2013'!J90</f>
        <v>569445.87333333318</v>
      </c>
      <c r="F16" s="72">
        <f>+'2013'!K90</f>
        <v>369904.27333333349</v>
      </c>
      <c r="G16" s="72">
        <f>+'2013'!L90</f>
        <v>344659.34666666668</v>
      </c>
      <c r="H16" s="72">
        <f>+'2013'!M90</f>
        <v>290056.23333333345</v>
      </c>
      <c r="I16" s="72">
        <f>+'2013'!N90</f>
        <v>333146.25999999995</v>
      </c>
      <c r="J16" s="72">
        <f>+'2013'!O90</f>
        <v>500998.76666666643</v>
      </c>
      <c r="K16" s="72">
        <f>+'2013'!P90</f>
        <v>698372.64666666673</v>
      </c>
      <c r="L16" s="72">
        <f>+'2013'!Q90</f>
        <v>564597.52000000014</v>
      </c>
      <c r="M16" s="72">
        <f>+'2013'!R90</f>
        <v>448636.59999999992</v>
      </c>
      <c r="N16" s="74">
        <f t="shared" si="0"/>
        <v>5631976.6333333328</v>
      </c>
      <c r="P16" s="72"/>
      <c r="R16" s="139"/>
      <c r="S16" s="74"/>
      <c r="T16" s="204"/>
    </row>
    <row r="17" spans="1:23">
      <c r="A17" s="4">
        <v>2014</v>
      </c>
      <c r="B17" s="72">
        <f>+'2014'!G92</f>
        <v>592962.96659999981</v>
      </c>
      <c r="C17" s="72">
        <f>+'2014'!H92</f>
        <v>505911.49119999993</v>
      </c>
      <c r="D17" s="72">
        <f>+'2014'!I92</f>
        <v>505053.68843333324</v>
      </c>
      <c r="E17" s="72">
        <f>+'2014'!J92</f>
        <v>662573.31253333332</v>
      </c>
      <c r="F17" s="72">
        <f>+'2014'!K92</f>
        <v>439981.10633333336</v>
      </c>
      <c r="G17" s="72">
        <f>+'2014'!L92</f>
        <v>298758.50099999999</v>
      </c>
      <c r="H17" s="72">
        <f>+'2014'!M92</f>
        <v>318237.30423333333</v>
      </c>
      <c r="I17" s="72">
        <f>+'2014'!N92</f>
        <v>351341.77013333328</v>
      </c>
      <c r="J17" s="72">
        <f>+'2014'!O92</f>
        <v>477377.51799999992</v>
      </c>
      <c r="K17" s="72">
        <f>+'2014'!P92</f>
        <v>655691.30880000012</v>
      </c>
      <c r="L17" s="72">
        <f>+'2014'!Q92</f>
        <v>576113.77589999989</v>
      </c>
      <c r="M17" s="72">
        <f>+'2014'!R92</f>
        <v>488247.28273333353</v>
      </c>
      <c r="N17" s="74">
        <f t="shared" si="0"/>
        <v>5872250.0258999998</v>
      </c>
      <c r="P17" s="72"/>
      <c r="R17" s="139"/>
      <c r="S17" s="74"/>
      <c r="T17" s="204"/>
    </row>
    <row r="18" spans="1:23">
      <c r="A18" s="4">
        <v>2015</v>
      </c>
      <c r="B18" s="72">
        <f>+'2015'!G118</f>
        <v>659053.24133333308</v>
      </c>
      <c r="C18" s="72">
        <f>+'2015'!H118</f>
        <v>540876.04989999987</v>
      </c>
      <c r="D18" s="72">
        <f>+'2015'!I118</f>
        <v>518702.91933333321</v>
      </c>
      <c r="E18" s="72">
        <f>+'2015'!J118</f>
        <v>721817.88776666671</v>
      </c>
      <c r="F18" s="72">
        <f>+'2015'!K118</f>
        <v>479622.1982000001</v>
      </c>
      <c r="G18" s="72">
        <f>+'2015'!L118</f>
        <v>318668.87553333334</v>
      </c>
      <c r="H18" s="72">
        <f>+'2015'!M118</f>
        <v>355397.30390000006</v>
      </c>
      <c r="I18" s="72">
        <f>+'2015'!N118</f>
        <v>375502.55913333345</v>
      </c>
      <c r="J18" s="72">
        <f>+'2015'!O118</f>
        <v>515818.08929999993</v>
      </c>
      <c r="K18" s="72">
        <f>+'2015'!P118</f>
        <v>704991.94689999975</v>
      </c>
      <c r="L18" s="72">
        <f>+'2015'!Q118</f>
        <v>650222.99443333328</v>
      </c>
      <c r="M18" s="72">
        <f>+'2015'!R118</f>
        <v>569716.93416666659</v>
      </c>
      <c r="N18" s="72">
        <f>+'2015'!S118</f>
        <v>6410390.9999000002</v>
      </c>
      <c r="P18" s="72"/>
      <c r="R18" s="139"/>
      <c r="S18" s="74"/>
      <c r="T18" s="204"/>
    </row>
    <row r="19" spans="1:23">
      <c r="A19" s="4">
        <v>2016</v>
      </c>
      <c r="B19" s="72">
        <f>+'2016'!F119</f>
        <v>722177.23533333361</v>
      </c>
      <c r="C19" s="72">
        <f>+'2016'!G119</f>
        <v>602146.12673333334</v>
      </c>
      <c r="D19" s="72">
        <f>+'2016'!H119</f>
        <v>674134.79463333311</v>
      </c>
      <c r="E19" s="72">
        <f>+'2016'!I119</f>
        <v>953204.35503333365</v>
      </c>
      <c r="F19" s="72">
        <f>+'2016'!J119</f>
        <v>480767.63556666678</v>
      </c>
      <c r="G19" s="72">
        <f>+'2016'!K119</f>
        <v>392151.10476666671</v>
      </c>
      <c r="H19" s="72">
        <f>+'2016'!L119</f>
        <v>373066.90526666684</v>
      </c>
      <c r="I19" s="72">
        <f>+'2016'!M119</f>
        <v>429929.82860000007</v>
      </c>
      <c r="J19" s="72">
        <f>+'2016'!N119</f>
        <v>601335.29459999991</v>
      </c>
      <c r="K19" s="72">
        <f>+'2016'!O119</f>
        <v>748616.5677000006</v>
      </c>
      <c r="L19" s="72">
        <f>+'2016'!P119</f>
        <v>702000.93046666658</v>
      </c>
      <c r="M19" s="72">
        <f>+'2016'!Q119</f>
        <v>607280.29356666666</v>
      </c>
      <c r="N19" s="72">
        <f>+'2016'!R119</f>
        <v>7286811.0722666671</v>
      </c>
      <c r="P19" s="72"/>
      <c r="R19" s="139"/>
      <c r="S19" s="74"/>
      <c r="T19" s="204"/>
      <c r="V19" s="1">
        <v>100</v>
      </c>
    </row>
    <row r="20" spans="1:23">
      <c r="A20" s="4">
        <v>2017</v>
      </c>
      <c r="B20" s="72">
        <f>+'2017'!F114</f>
        <v>667807.709033333</v>
      </c>
      <c r="C20" s="72">
        <f>+'2017'!G114</f>
        <v>587850.49076666683</v>
      </c>
      <c r="D20" s="72">
        <f>+'2017'!H114</f>
        <v>533043.23548235279</v>
      </c>
      <c r="E20" s="72">
        <f>+'2017'!I114</f>
        <v>825310.06055764703</v>
      </c>
      <c r="F20" s="72">
        <f>+'2017'!J114</f>
        <v>601128.67407058831</v>
      </c>
      <c r="G20" s="72">
        <f>+'2017'!K114</f>
        <v>345865.08098823525</v>
      </c>
      <c r="H20" s="72">
        <f>+'2017'!L114</f>
        <v>486181.48402352957</v>
      </c>
      <c r="I20" s="72">
        <f>+'2017'!M114</f>
        <v>395639.96301176475</v>
      </c>
      <c r="J20" s="72">
        <f>+'2017'!N114</f>
        <v>638734.79974117642</v>
      </c>
      <c r="K20" s="72">
        <f>+'2017'!O114</f>
        <v>787885.29037647066</v>
      </c>
      <c r="L20" s="72">
        <f>+'2017'!P114</f>
        <v>757463.03192941158</v>
      </c>
      <c r="M20" s="72">
        <f>+'2017'!Q114</f>
        <v>612328.4221647057</v>
      </c>
      <c r="N20" s="72">
        <f>+'2017'!R114</f>
        <v>7239238.242145882</v>
      </c>
      <c r="P20" s="72"/>
      <c r="R20" s="139"/>
      <c r="S20" s="74"/>
      <c r="T20" s="204"/>
      <c r="V20" s="1">
        <f>+V19*0.085</f>
        <v>8.5</v>
      </c>
      <c r="W20" s="1">
        <f>+V19/V20</f>
        <v>11.764705882352942</v>
      </c>
    </row>
    <row r="21" spans="1:23">
      <c r="A21" s="4">
        <v>2018</v>
      </c>
      <c r="B21" s="72">
        <f>+'2018'!O122</f>
        <v>647878.47999999975</v>
      </c>
      <c r="C21" s="72">
        <f>+'2018'!P122</f>
        <v>546980.52705882338</v>
      </c>
      <c r="D21" s="72">
        <f>+'2018'!Q122</f>
        <v>685158.10823529435</v>
      </c>
      <c r="E21" s="72">
        <f>+'2018'!R122</f>
        <v>750125.16705882363</v>
      </c>
      <c r="F21" s="72">
        <f>+'2018'!S122</f>
        <v>297141.27999999997</v>
      </c>
      <c r="G21" s="72">
        <f>+'2018'!T122</f>
        <v>517015.46823529416</v>
      </c>
      <c r="H21" s="72">
        <f>+'2018'!U122</f>
        <v>377546.48141176451</v>
      </c>
      <c r="I21" s="72">
        <f>+'2018'!V122</f>
        <v>398148.83764705888</v>
      </c>
      <c r="J21" s="72">
        <f>+'2018'!W122</f>
        <v>519713.18588235328</v>
      </c>
      <c r="K21" s="72">
        <f>+'2018'!X122</f>
        <v>750025.19058823551</v>
      </c>
      <c r="L21" s="72">
        <f>+'2018'!Y122</f>
        <v>633898.03811764705</v>
      </c>
      <c r="M21" s="72">
        <f>+'2018'!Z122</f>
        <v>545857.2517647061</v>
      </c>
      <c r="N21" s="72">
        <f>+'2018'!AA122</f>
        <v>6669488.0160000008</v>
      </c>
      <c r="P21" s="72"/>
      <c r="R21" s="139"/>
      <c r="S21" s="74"/>
      <c r="T21" s="204"/>
      <c r="U21" s="204"/>
    </row>
    <row r="22" spans="1:23">
      <c r="A22" s="4">
        <v>2019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P22" s="72"/>
      <c r="R22" s="139"/>
      <c r="S22" s="74"/>
      <c r="T22" s="204"/>
      <c r="U22" s="204"/>
    </row>
    <row r="23" spans="1:23">
      <c r="B23" s="72"/>
      <c r="C23" s="72"/>
      <c r="D23" s="72"/>
      <c r="E23" s="72"/>
      <c r="F23" s="72"/>
      <c r="G23" s="72"/>
      <c r="H23" s="72"/>
      <c r="I23" s="74"/>
      <c r="J23" s="74"/>
      <c r="K23" s="74"/>
      <c r="L23" s="74"/>
      <c r="M23" s="74"/>
      <c r="N23" s="74"/>
      <c r="P23" s="74"/>
      <c r="Q23" s="138"/>
    </row>
    <row r="24" spans="1:23">
      <c r="A24" s="1" t="s">
        <v>871</v>
      </c>
      <c r="B24" s="72">
        <f>+SUM(B17:B21)</f>
        <v>3289879.6322999988</v>
      </c>
      <c r="C24" s="72">
        <f t="shared" ref="C24:N24" si="5">+SUM(C17:C21)</f>
        <v>2783764.6856588232</v>
      </c>
      <c r="D24" s="72">
        <f t="shared" si="5"/>
        <v>2916092.7461176468</v>
      </c>
      <c r="E24" s="72">
        <f t="shared" si="5"/>
        <v>3913030.7829498048</v>
      </c>
      <c r="F24" s="72">
        <f t="shared" si="5"/>
        <v>2298640.8941705883</v>
      </c>
      <c r="G24" s="72">
        <f t="shared" si="5"/>
        <v>1872459.0305235295</v>
      </c>
      <c r="H24" s="72">
        <f t="shared" si="5"/>
        <v>1910429.4788352945</v>
      </c>
      <c r="I24" s="72">
        <f t="shared" si="5"/>
        <v>1950562.9585254905</v>
      </c>
      <c r="J24" s="72">
        <f t="shared" si="5"/>
        <v>2752978.8875235291</v>
      </c>
      <c r="K24" s="72">
        <f t="shared" si="5"/>
        <v>3647210.3043647069</v>
      </c>
      <c r="L24" s="72">
        <f t="shared" si="5"/>
        <v>3319698.7708470584</v>
      </c>
      <c r="M24" s="72">
        <f t="shared" si="5"/>
        <v>2823430.1843960788</v>
      </c>
      <c r="N24" s="72">
        <f t="shared" si="5"/>
        <v>33478178.356212549</v>
      </c>
      <c r="O24" s="74"/>
      <c r="P24" s="72">
        <f>+N24/10</f>
        <v>3347817.835621255</v>
      </c>
    </row>
    <row r="25" spans="1:23">
      <c r="A25" s="1" t="s">
        <v>872</v>
      </c>
      <c r="B25" s="75">
        <f>+B24/5</f>
        <v>657975.92645999976</v>
      </c>
      <c r="C25" s="75">
        <f t="shared" ref="C25:N25" si="6">+C24/5</f>
        <v>556752.9371317646</v>
      </c>
      <c r="D25" s="75">
        <f t="shared" si="6"/>
        <v>583218.54922352941</v>
      </c>
      <c r="E25" s="75">
        <f t="shared" si="6"/>
        <v>782606.15658996091</v>
      </c>
      <c r="F25" s="75">
        <f t="shared" si="6"/>
        <v>459728.17883411766</v>
      </c>
      <c r="G25" s="75">
        <f t="shared" si="6"/>
        <v>374491.8061047059</v>
      </c>
      <c r="H25" s="75">
        <f t="shared" si="6"/>
        <v>382085.89576705889</v>
      </c>
      <c r="I25" s="75">
        <f t="shared" si="6"/>
        <v>390112.59170509811</v>
      </c>
      <c r="J25" s="75">
        <f t="shared" si="6"/>
        <v>550595.77750470582</v>
      </c>
      <c r="K25" s="75">
        <f t="shared" si="6"/>
        <v>729442.06087294139</v>
      </c>
      <c r="L25" s="75">
        <f t="shared" si="6"/>
        <v>663939.75416941172</v>
      </c>
      <c r="M25" s="75">
        <f t="shared" si="6"/>
        <v>564686.03687921574</v>
      </c>
      <c r="N25" s="75">
        <f t="shared" si="6"/>
        <v>6695635.67124251</v>
      </c>
      <c r="O25" s="74"/>
      <c r="P25" s="74"/>
      <c r="T25" s="74"/>
    </row>
    <row r="26" spans="1:23">
      <c r="B26" s="80"/>
      <c r="C26" s="80"/>
      <c r="D26" s="80"/>
      <c r="E26" s="80"/>
      <c r="F26" s="80"/>
      <c r="G26" s="80"/>
      <c r="H26" s="80"/>
      <c r="I26" s="76"/>
      <c r="J26" s="76"/>
      <c r="K26" s="76"/>
      <c r="L26" s="76"/>
      <c r="M26" s="76"/>
      <c r="N26" s="76"/>
    </row>
    <row r="27" spans="1:23">
      <c r="A27" s="1" t="s">
        <v>873</v>
      </c>
      <c r="B27" s="72">
        <f>IF(B21=0,0,B21-B25)</f>
        <v>-10097.446460000006</v>
      </c>
      <c r="C27" s="72">
        <f t="shared" ref="C27:N27" si="7">IF(C21=0,0,C21-C25)</f>
        <v>-9772.4100729412166</v>
      </c>
      <c r="D27" s="72">
        <f t="shared" si="7"/>
        <v>101939.55901176494</v>
      </c>
      <c r="E27" s="72">
        <f t="shared" si="7"/>
        <v>-32480.989531137282</v>
      </c>
      <c r="F27" s="72">
        <f t="shared" si="7"/>
        <v>-162586.89883411769</v>
      </c>
      <c r="G27" s="72">
        <f t="shared" si="7"/>
        <v>142523.66213058826</v>
      </c>
      <c r="H27" s="72">
        <f t="shared" si="7"/>
        <v>-4539.4143552943715</v>
      </c>
      <c r="I27" s="72">
        <f t="shared" si="7"/>
        <v>8036.2459419607767</v>
      </c>
      <c r="J27" s="72">
        <f t="shared" si="7"/>
        <v>-30882.591622352542</v>
      </c>
      <c r="K27" s="72">
        <f t="shared" si="7"/>
        <v>20583.129715294112</v>
      </c>
      <c r="L27" s="72">
        <f t="shared" si="7"/>
        <v>-30041.71605176467</v>
      </c>
      <c r="M27" s="72">
        <f t="shared" si="7"/>
        <v>-18828.785114509636</v>
      </c>
      <c r="N27" s="72">
        <f t="shared" si="7"/>
        <v>-26147.655242509209</v>
      </c>
      <c r="T27" s="74"/>
    </row>
    <row r="28" spans="1:23">
      <c r="A28" s="1" t="s">
        <v>874</v>
      </c>
      <c r="B28" s="78">
        <f>+B27/B25</f>
        <v>-1.5346224768929839E-2</v>
      </c>
      <c r="C28" s="78">
        <f t="shared" ref="C28:N28" si="8">+C27/C25</f>
        <v>-1.7552507443042761E-2</v>
      </c>
      <c r="D28" s="78">
        <f t="shared" si="8"/>
        <v>0.17478792323646533</v>
      </c>
      <c r="E28" s="78">
        <f t="shared" si="8"/>
        <v>-4.1503621275695367E-2</v>
      </c>
      <c r="F28" s="78">
        <f t="shared" si="8"/>
        <v>-0.3536587625462555</v>
      </c>
      <c r="G28" s="78">
        <f t="shared" si="8"/>
        <v>0.38057885328134367</v>
      </c>
      <c r="H28" s="78">
        <f t="shared" si="8"/>
        <v>-1.1880612201560704E-2</v>
      </c>
      <c r="I28" s="78">
        <f t="shared" si="8"/>
        <v>2.0599811728291253E-2</v>
      </c>
      <c r="J28" s="78">
        <f t="shared" si="8"/>
        <v>-5.6089408753390947E-2</v>
      </c>
      <c r="K28" s="78">
        <f t="shared" si="8"/>
        <v>2.8217634846367058E-2</v>
      </c>
      <c r="L28" s="78">
        <f t="shared" si="8"/>
        <v>-4.5247653666027031E-2</v>
      </c>
      <c r="M28" s="78">
        <f t="shared" si="8"/>
        <v>-3.3343812109413014E-2</v>
      </c>
      <c r="N28" s="78">
        <f t="shared" si="8"/>
        <v>-3.9051789144998366E-3</v>
      </c>
    </row>
    <row r="29" spans="1:23">
      <c r="A29" s="1" t="s">
        <v>870</v>
      </c>
      <c r="B29" s="74">
        <f>+B27</f>
        <v>-10097.446460000006</v>
      </c>
      <c r="C29" s="74">
        <f t="shared" ref="C29:I29" si="9">+IF(C27=0,0,B29+C27)</f>
        <v>-19869.856532941223</v>
      </c>
      <c r="D29" s="74">
        <f t="shared" si="9"/>
        <v>82069.702478823718</v>
      </c>
      <c r="E29" s="74">
        <f t="shared" si="9"/>
        <v>49588.712947686436</v>
      </c>
      <c r="F29" s="74">
        <f t="shared" si="9"/>
        <v>-112998.18588643125</v>
      </c>
      <c r="G29" s="74">
        <f t="shared" si="9"/>
        <v>29525.476244157006</v>
      </c>
      <c r="H29" s="74">
        <f t="shared" si="9"/>
        <v>24986.061888862634</v>
      </c>
      <c r="I29" s="74">
        <f t="shared" si="9"/>
        <v>33022.307830823411</v>
      </c>
      <c r="J29" s="74">
        <f>+IF(J27=0,0,I29+J27)</f>
        <v>2139.7162084708689</v>
      </c>
      <c r="K29" s="74">
        <f>+IF(K27=0,0,J29+K27)</f>
        <v>22722.84592376498</v>
      </c>
      <c r="L29" s="74">
        <f>+IF(L27=0,0,K29+L27)</f>
        <v>-7318.8701279996894</v>
      </c>
      <c r="M29" s="74">
        <f>+IF(M27=0,0,L29+M27)</f>
        <v>-26147.655242509325</v>
      </c>
      <c r="N29" s="74">
        <f>+N27</f>
        <v>-26147.655242509209</v>
      </c>
    </row>
    <row r="30" spans="1:23">
      <c r="A30" s="1" t="s">
        <v>834</v>
      </c>
      <c r="B30" s="79">
        <f>+B29/B25</f>
        <v>-1.5346224768929839E-2</v>
      </c>
      <c r="C30" s="79">
        <f>+C29/SUM(B25:C25)</f>
        <v>-1.635744167154236E-2</v>
      </c>
      <c r="D30" s="79">
        <f>+D29/SUM(B25:D25)</f>
        <v>4.564633086254502E-2</v>
      </c>
      <c r="E30" s="79">
        <f>+E29/SUM(B25:E25)</f>
        <v>1.9216308289664856E-2</v>
      </c>
      <c r="F30" s="79">
        <f>+F29/SUM(B25:F25)</f>
        <v>-3.7167011232386117E-2</v>
      </c>
      <c r="G30" s="79">
        <f>+G29/SUM(B25:G25)</f>
        <v>8.6463936112531944E-3</v>
      </c>
      <c r="H30" s="79">
        <f>+H29/SUM(B25:H25)</f>
        <v>6.5807181480292271E-3</v>
      </c>
      <c r="I30" s="79">
        <f>+I29/SUM(B25:I25)</f>
        <v>7.886918637388109E-3</v>
      </c>
      <c r="J30" s="79">
        <f>+IF(J29=0,0,J29/SUM(B25:J25))</f>
        <v>4.5164867081049295E-4</v>
      </c>
      <c r="K30" s="79">
        <f>+IF(K29=0,0,K29/SUM(B25:K25))</f>
        <v>4.1563572083683767E-3</v>
      </c>
      <c r="L30" s="79">
        <f>+IF(L29=0,0,L29/SUM(B25:L25))</f>
        <v>-1.1937579925592981E-3</v>
      </c>
      <c r="M30" s="79">
        <f>+IF(M29=0,0,M29/SUM(B25:M25))</f>
        <v>-3.9051789144998539E-3</v>
      </c>
      <c r="N30" s="79">
        <f>+N29/N25</f>
        <v>-3.9051789144998366E-3</v>
      </c>
    </row>
    <row r="31" spans="1:23">
      <c r="I31" s="8"/>
      <c r="L31" s="74"/>
    </row>
    <row r="32" spans="1:23" ht="10.5">
      <c r="A32" s="77" t="s">
        <v>320</v>
      </c>
    </row>
    <row r="33" spans="1:20" ht="10.5">
      <c r="A33" s="15" t="s">
        <v>306</v>
      </c>
      <c r="B33" s="16" t="s">
        <v>307</v>
      </c>
      <c r="C33" s="16" t="s">
        <v>308</v>
      </c>
      <c r="D33" s="16" t="s">
        <v>309</v>
      </c>
      <c r="E33" s="16" t="s">
        <v>310</v>
      </c>
      <c r="F33" s="16" t="s">
        <v>311</v>
      </c>
      <c r="G33" s="16" t="s">
        <v>312</v>
      </c>
      <c r="H33" s="62" t="s">
        <v>313</v>
      </c>
      <c r="I33" s="62" t="s">
        <v>314</v>
      </c>
      <c r="J33" s="63" t="s">
        <v>318</v>
      </c>
      <c r="K33" s="62" t="s">
        <v>315</v>
      </c>
      <c r="L33" s="62" t="s">
        <v>316</v>
      </c>
      <c r="M33" s="62" t="s">
        <v>317</v>
      </c>
      <c r="N33" s="64" t="s">
        <v>143</v>
      </c>
    </row>
    <row r="34" spans="1:20">
      <c r="A34" s="4">
        <v>2001</v>
      </c>
      <c r="B34" s="76">
        <f t="shared" ref="B34:N34" si="10">+(B4-B3)/B3</f>
        <v>-0.34135674462529925</v>
      </c>
      <c r="C34" s="78">
        <f t="shared" si="10"/>
        <v>-0.28685183784553775</v>
      </c>
      <c r="D34" s="78">
        <f t="shared" si="10"/>
        <v>-0.28952884219154595</v>
      </c>
      <c r="E34" s="78">
        <f t="shared" si="10"/>
        <v>-0.16973766481706368</v>
      </c>
      <c r="F34" s="78">
        <f t="shared" si="10"/>
        <v>-0.20148865781482628</v>
      </c>
      <c r="G34" s="78">
        <f t="shared" si="10"/>
        <v>-0.23477036116522843</v>
      </c>
      <c r="H34" s="78">
        <f t="shared" si="10"/>
        <v>-0.20881718553358902</v>
      </c>
      <c r="I34" s="78">
        <f t="shared" si="10"/>
        <v>-0.23148774440512865</v>
      </c>
      <c r="J34" s="78">
        <f t="shared" si="10"/>
        <v>-0.17351302911925398</v>
      </c>
      <c r="K34" s="78">
        <f t="shared" si="10"/>
        <v>-0.11220092743002309</v>
      </c>
      <c r="L34" s="78">
        <f t="shared" si="10"/>
        <v>-0.25450863038159943</v>
      </c>
      <c r="M34" s="78">
        <f t="shared" si="10"/>
        <v>-0.21033949550412692</v>
      </c>
      <c r="N34" s="78">
        <f t="shared" si="10"/>
        <v>-0.22663211118177509</v>
      </c>
      <c r="T34" s="79"/>
    </row>
    <row r="35" spans="1:20">
      <c r="A35" s="4">
        <v>2002</v>
      </c>
      <c r="B35" s="76">
        <f t="shared" ref="B35:N35" si="11">+(B5-B4)/B4</f>
        <v>0.26955962583594467</v>
      </c>
      <c r="C35" s="78">
        <f t="shared" si="11"/>
        <v>0.12019041008956242</v>
      </c>
      <c r="D35" s="78">
        <f t="shared" si="11"/>
        <v>7.5287887249944688E-2</v>
      </c>
      <c r="E35" s="78">
        <f t="shared" si="11"/>
        <v>-0.11743118184672081</v>
      </c>
      <c r="F35" s="78">
        <f t="shared" si="11"/>
        <v>-0.10153422515120372</v>
      </c>
      <c r="G35" s="78">
        <f t="shared" si="11"/>
        <v>1.346092159310887E-2</v>
      </c>
      <c r="H35" s="78">
        <f t="shared" si="11"/>
        <v>-5.1384210911880897E-2</v>
      </c>
      <c r="I35" s="78">
        <f t="shared" si="11"/>
        <v>-1.6811881802482016E-2</v>
      </c>
      <c r="J35" s="78">
        <f t="shared" si="11"/>
        <v>7.1583055142612873E-2</v>
      </c>
      <c r="K35" s="78">
        <f t="shared" si="11"/>
        <v>-1.6655784129623728E-2</v>
      </c>
      <c r="L35" s="78">
        <f t="shared" si="11"/>
        <v>6.0484631263574964E-2</v>
      </c>
      <c r="M35" s="78">
        <f t="shared" si="11"/>
        <v>-0.13893787225004472</v>
      </c>
      <c r="N35" s="78">
        <f t="shared" si="11"/>
        <v>9.8591278181789366E-3</v>
      </c>
      <c r="T35" s="79"/>
    </row>
    <row r="36" spans="1:20">
      <c r="A36" s="4">
        <v>2003</v>
      </c>
      <c r="B36" s="76">
        <f t="shared" ref="B36:N36" si="12">+(B6-B5)/B5</f>
        <v>-8.9925120420105906E-2</v>
      </c>
      <c r="C36" s="78">
        <f t="shared" si="12"/>
        <v>5.0139766307350807E-2</v>
      </c>
      <c r="D36" s="78">
        <f t="shared" si="12"/>
        <v>2.434128267682803E-2</v>
      </c>
      <c r="E36" s="78">
        <f t="shared" si="12"/>
        <v>9.4732752408438148E-2</v>
      </c>
      <c r="F36" s="78">
        <f t="shared" si="12"/>
        <v>0.12874311350614751</v>
      </c>
      <c r="G36" s="78">
        <f t="shared" si="12"/>
        <v>6.4603615207196971E-2</v>
      </c>
      <c r="H36" s="78">
        <f t="shared" si="12"/>
        <v>0.44976111221858289</v>
      </c>
      <c r="I36" s="78">
        <f t="shared" si="12"/>
        <v>0.31490620476455972</v>
      </c>
      <c r="J36" s="78">
        <f t="shared" si="12"/>
        <v>-1.9003037663200599E-2</v>
      </c>
      <c r="K36" s="78">
        <f t="shared" si="12"/>
        <v>7.8432370905410956E-2</v>
      </c>
      <c r="L36" s="78">
        <f t="shared" si="12"/>
        <v>-2.9101700318236237E-2</v>
      </c>
      <c r="M36" s="78">
        <f t="shared" si="12"/>
        <v>0.1800492506337085</v>
      </c>
      <c r="N36" s="78">
        <f t="shared" si="12"/>
        <v>8.0991268107902067E-2</v>
      </c>
      <c r="T36" s="79"/>
    </row>
    <row r="37" spans="1:20">
      <c r="A37" s="4">
        <v>2004</v>
      </c>
      <c r="B37" s="76">
        <f t="shared" ref="B37:N37" si="13">+(B7-B6)/B6</f>
        <v>4.5454009998847772E-2</v>
      </c>
      <c r="C37" s="78">
        <f t="shared" si="13"/>
        <v>6.6086381099528272E-3</v>
      </c>
      <c r="D37" s="78">
        <f t="shared" si="13"/>
        <v>0.13177934792879617</v>
      </c>
      <c r="E37" s="78">
        <f t="shared" si="13"/>
        <v>-1.3522221076913695E-2</v>
      </c>
      <c r="F37" s="78">
        <f t="shared" si="13"/>
        <v>-3.211864629954269E-2</v>
      </c>
      <c r="G37" s="78">
        <f t="shared" si="13"/>
        <v>1.1241318914118731E-2</v>
      </c>
      <c r="H37" s="78">
        <f t="shared" si="13"/>
        <v>-0.229029655891066</v>
      </c>
      <c r="I37" s="78">
        <f t="shared" si="13"/>
        <v>-6.9509563927060758E-2</v>
      </c>
      <c r="J37" s="78">
        <f t="shared" si="13"/>
        <v>1.5972532473006642E-2</v>
      </c>
      <c r="K37" s="78">
        <f t="shared" si="13"/>
        <v>3.4016637878006739E-2</v>
      </c>
      <c r="L37" s="78">
        <f t="shared" si="13"/>
        <v>0.10264128391029928</v>
      </c>
      <c r="M37" s="78">
        <f t="shared" si="13"/>
        <v>8.9726235253009476E-2</v>
      </c>
      <c r="N37" s="78">
        <f t="shared" si="13"/>
        <v>1.2143165774437E-2</v>
      </c>
      <c r="T37" s="79"/>
    </row>
    <row r="38" spans="1:20">
      <c r="A38" s="42">
        <v>2005</v>
      </c>
      <c r="B38" s="76">
        <f t="shared" ref="B38:N38" si="14">+(B8-B7)/B7</f>
        <v>0.18496209231792313</v>
      </c>
      <c r="C38" s="78">
        <f t="shared" si="14"/>
        <v>6.9467068982569297E-2</v>
      </c>
      <c r="D38" s="78">
        <f t="shared" si="14"/>
        <v>3.7193903881632531E-2</v>
      </c>
      <c r="E38" s="78">
        <f t="shared" si="14"/>
        <v>0.26558012424621075</v>
      </c>
      <c r="F38" s="78">
        <f t="shared" si="14"/>
        <v>0.23370993469066792</v>
      </c>
      <c r="G38" s="78">
        <f t="shared" si="14"/>
        <v>0.27586443914615116</v>
      </c>
      <c r="H38" s="78">
        <f t="shared" si="14"/>
        <v>1.3922683325142139E-2</v>
      </c>
      <c r="I38" s="78">
        <f t="shared" si="14"/>
        <v>6.4929362123702705E-2</v>
      </c>
      <c r="J38" s="78">
        <f t="shared" si="14"/>
        <v>8.2462273765074021E-2</v>
      </c>
      <c r="K38" s="78">
        <f t="shared" si="14"/>
        <v>5.7682094905012825E-2</v>
      </c>
      <c r="L38" s="78">
        <f t="shared" si="14"/>
        <v>8.1713648744688394E-2</v>
      </c>
      <c r="M38" s="78">
        <f t="shared" si="14"/>
        <v>0.12115013534190244</v>
      </c>
      <c r="N38" s="78">
        <f t="shared" si="14"/>
        <v>0.12365472530483824</v>
      </c>
      <c r="T38" s="79"/>
    </row>
    <row r="39" spans="1:20">
      <c r="A39" s="4">
        <v>2006</v>
      </c>
      <c r="B39" s="76">
        <f t="shared" ref="B39:N39" si="15">+(B9-B8)/B8</f>
        <v>7.7124733014585695E-2</v>
      </c>
      <c r="C39" s="78">
        <f t="shared" si="15"/>
        <v>2.4432184050286943E-4</v>
      </c>
      <c r="D39" s="78">
        <f t="shared" si="15"/>
        <v>3.9033014452202412E-2</v>
      </c>
      <c r="E39" s="78">
        <f t="shared" si="15"/>
        <v>-8.1487307952936405E-2</v>
      </c>
      <c r="F39" s="78">
        <f t="shared" si="15"/>
        <v>-0.15847831689043759</v>
      </c>
      <c r="G39" s="78">
        <f t="shared" si="15"/>
        <v>-0.22794322553127727</v>
      </c>
      <c r="H39" s="78">
        <f t="shared" si="15"/>
        <v>2.9487822682479913E-2</v>
      </c>
      <c r="I39" s="78">
        <f t="shared" si="15"/>
        <v>-2.7705249169576639E-2</v>
      </c>
      <c r="J39" s="78">
        <f t="shared" si="15"/>
        <v>-1.0237838817064308E-2</v>
      </c>
      <c r="K39" s="78">
        <f t="shared" si="15"/>
        <v>1.6541369177027674E-2</v>
      </c>
      <c r="L39" s="78">
        <f t="shared" si="15"/>
        <v>-6.3875649404249593E-3</v>
      </c>
      <c r="M39" s="78">
        <f t="shared" si="15"/>
        <v>-7.5275576750342965E-2</v>
      </c>
      <c r="N39" s="78">
        <f t="shared" si="15"/>
        <v>-3.4384890238070544E-2</v>
      </c>
      <c r="T39" s="79"/>
    </row>
    <row r="40" spans="1:20">
      <c r="A40" s="4">
        <v>2007</v>
      </c>
      <c r="B40" s="76">
        <f t="shared" ref="B40:N40" si="16">+(B10-B9)/B9</f>
        <v>-3.9356814625669423E-2</v>
      </c>
      <c r="C40" s="78">
        <f t="shared" si="16"/>
        <v>0.10832498947528435</v>
      </c>
      <c r="D40" s="78">
        <f t="shared" si="16"/>
        <v>0.2174435175541497</v>
      </c>
      <c r="E40" s="78">
        <f t="shared" si="16"/>
        <v>4.9260903667573436E-2</v>
      </c>
      <c r="F40" s="78">
        <f t="shared" si="16"/>
        <v>0.11439558145066081</v>
      </c>
      <c r="G40" s="78">
        <f t="shared" si="16"/>
        <v>7.4543302643882148E-2</v>
      </c>
      <c r="H40" s="78">
        <f t="shared" si="16"/>
        <v>0.16261886844466347</v>
      </c>
      <c r="I40" s="78">
        <f t="shared" si="16"/>
        <v>0.13723905381390064</v>
      </c>
      <c r="J40" s="78">
        <f t="shared" si="16"/>
        <v>0.20898719919612027</v>
      </c>
      <c r="K40" s="78">
        <f t="shared" si="16"/>
        <v>5.3450428443510875E-2</v>
      </c>
      <c r="L40" s="78">
        <f t="shared" si="16"/>
        <v>0.11856860910565838</v>
      </c>
      <c r="M40" s="78">
        <f t="shared" si="16"/>
        <v>0.14273915980273019</v>
      </c>
      <c r="N40" s="78">
        <f t="shared" si="16"/>
        <v>0.1059830664191897</v>
      </c>
      <c r="T40" s="79"/>
    </row>
    <row r="41" spans="1:20">
      <c r="A41" s="4">
        <v>2008</v>
      </c>
      <c r="B41" s="76">
        <f t="shared" ref="B41:N41" si="17">+(B11-B10)/B10</f>
        <v>1.6848553532023802E-2</v>
      </c>
      <c r="C41" s="78">
        <f t="shared" si="17"/>
        <v>1.5921820181160933E-2</v>
      </c>
      <c r="D41" s="78">
        <f t="shared" si="17"/>
        <v>3.0707047370451247E-2</v>
      </c>
      <c r="E41" s="78">
        <f t="shared" si="17"/>
        <v>0.14056466459848863</v>
      </c>
      <c r="F41" s="78">
        <f t="shared" si="17"/>
        <v>0.10167869282730937</v>
      </c>
      <c r="G41" s="78">
        <f t="shared" si="17"/>
        <v>-3.8880978390315422E-2</v>
      </c>
      <c r="H41" s="78">
        <f t="shared" si="17"/>
        <v>-3.4755144564531703E-3</v>
      </c>
      <c r="I41" s="78">
        <f t="shared" si="17"/>
        <v>-3.4668839294496087E-2</v>
      </c>
      <c r="J41" s="78">
        <f t="shared" si="17"/>
        <v>-6.9833564575561433E-2</v>
      </c>
      <c r="K41" s="78">
        <f t="shared" si="17"/>
        <v>9.8569644670365691E-2</v>
      </c>
      <c r="L41" s="78">
        <f t="shared" si="17"/>
        <v>-3.6313480091220374E-2</v>
      </c>
      <c r="M41" s="78">
        <f t="shared" si="17"/>
        <v>-4.5997314252447817E-2</v>
      </c>
      <c r="N41" s="78">
        <f t="shared" si="17"/>
        <v>1.8836351052689791E-2</v>
      </c>
      <c r="T41" s="79"/>
    </row>
    <row r="42" spans="1:20">
      <c r="A42" s="4">
        <v>2009</v>
      </c>
      <c r="B42" s="76">
        <f t="shared" ref="B42:B51" si="18">+(B12-B11)/B11</f>
        <v>9.4551470320425143E-2</v>
      </c>
      <c r="C42" s="78">
        <f t="shared" ref="C42:N42" si="19">IF(C12=0," ",((C12-C11)/C11))</f>
        <v>5.924692931090151E-2</v>
      </c>
      <c r="D42" s="78">
        <f t="shared" si="19"/>
        <v>4.9036085444711983E-2</v>
      </c>
      <c r="E42" s="78">
        <f t="shared" si="19"/>
        <v>-6.0755300475929822E-2</v>
      </c>
      <c r="F42" s="78">
        <f t="shared" si="19"/>
        <v>-0.12527736581995197</v>
      </c>
      <c r="G42" s="78">
        <f t="shared" si="19"/>
        <v>-1.9160067816464829E-2</v>
      </c>
      <c r="H42" s="78">
        <f t="shared" si="19"/>
        <v>-2.7557817310785351E-3</v>
      </c>
      <c r="I42" s="78">
        <f t="shared" si="19"/>
        <v>-1.2606806884613537E-2</v>
      </c>
      <c r="J42" s="78">
        <f t="shared" si="19"/>
        <v>-8.0816209209158482E-2</v>
      </c>
      <c r="K42" s="78">
        <f t="shared" si="19"/>
        <v>-0.1457632300518546</v>
      </c>
      <c r="L42" s="78">
        <f t="shared" si="19"/>
        <v>-0.15430200064135702</v>
      </c>
      <c r="M42" s="78">
        <f t="shared" si="19"/>
        <v>-0.10185326916502341</v>
      </c>
      <c r="N42" s="78">
        <f t="shared" si="19"/>
        <v>-4.5451436164871913E-2</v>
      </c>
      <c r="T42" s="79"/>
    </row>
    <row r="43" spans="1:20">
      <c r="A43" s="4">
        <v>2010</v>
      </c>
      <c r="B43" s="76">
        <f t="shared" si="18"/>
        <v>-9.154741962417294E-2</v>
      </c>
      <c r="C43" s="78">
        <f t="shared" ref="C43:N43" si="20">IF(C13=0," ",((C13-C12)/C12))</f>
        <v>-7.9734083057695387E-2</v>
      </c>
      <c r="D43" s="78">
        <f t="shared" si="20"/>
        <v>-0.10626394748188941</v>
      </c>
      <c r="E43" s="78">
        <f t="shared" si="20"/>
        <v>-1.6404736824736546E-2</v>
      </c>
      <c r="F43" s="78">
        <f t="shared" si="20"/>
        <v>-3.2753830653897094E-2</v>
      </c>
      <c r="G43" s="78">
        <f t="shared" si="20"/>
        <v>-2.1567486252753922E-2</v>
      </c>
      <c r="H43" s="78">
        <f t="shared" si="20"/>
        <v>-2.0448314592212E-2</v>
      </c>
      <c r="I43" s="78">
        <f t="shared" si="20"/>
        <v>7.6377558833512179E-4</v>
      </c>
      <c r="J43" s="78">
        <f t="shared" si="20"/>
        <v>0.14922313021837319</v>
      </c>
      <c r="K43" s="78">
        <f t="shared" si="20"/>
        <v>0.12256099053470119</v>
      </c>
      <c r="L43" s="78">
        <f t="shared" si="20"/>
        <v>0.20573255459905362</v>
      </c>
      <c r="M43" s="78">
        <f t="shared" si="20"/>
        <v>0.24244039870763859</v>
      </c>
      <c r="N43" s="78">
        <f t="shared" si="20"/>
        <v>2.4587831648159739E-2</v>
      </c>
      <c r="T43" s="79"/>
    </row>
    <row r="44" spans="1:20">
      <c r="A44" s="4">
        <v>2011</v>
      </c>
      <c r="B44" s="76">
        <f t="shared" si="18"/>
        <v>0.12088336276482733</v>
      </c>
      <c r="C44" s="78">
        <f t="shared" ref="C44:N44" si="21">IF(C14=0," ",((C14-C13)/C13))</f>
        <v>0.10650814931745047</v>
      </c>
      <c r="D44" s="78">
        <f t="shared" si="21"/>
        <v>0.49363628881193183</v>
      </c>
      <c r="E44" s="78">
        <f t="shared" si="21"/>
        <v>0.83737359771134368</v>
      </c>
      <c r="F44" s="78">
        <f t="shared" si="21"/>
        <v>0.18775804297079846</v>
      </c>
      <c r="G44" s="78">
        <f t="shared" si="21"/>
        <v>0.17793467003468139</v>
      </c>
      <c r="H44" s="78">
        <f t="shared" si="21"/>
        <v>-3.9328661151254614E-2</v>
      </c>
      <c r="I44" s="78">
        <f t="shared" si="21"/>
        <v>-7.5435635828810686E-3</v>
      </c>
      <c r="J44" s="78">
        <f t="shared" si="21"/>
        <v>-3.7084400451562416E-2</v>
      </c>
      <c r="K44" s="78">
        <f t="shared" si="21"/>
        <v>-7.221924689325955E-2</v>
      </c>
      <c r="L44" s="78">
        <f t="shared" si="21"/>
        <v>8.6261800709484124E-2</v>
      </c>
      <c r="M44" s="78">
        <f t="shared" si="21"/>
        <v>-0.11719050840764146</v>
      </c>
      <c r="N44" s="78">
        <f t="shared" si="21"/>
        <v>0.16171608574133201</v>
      </c>
      <c r="T44" s="79"/>
    </row>
    <row r="45" spans="1:20">
      <c r="A45" s="4">
        <v>2012</v>
      </c>
      <c r="B45" s="78">
        <f t="shared" si="18"/>
        <v>1.1782912969566168E-2</v>
      </c>
      <c r="C45" s="78">
        <f t="shared" ref="C45:F51" si="22">+(C15-C14)/C14</f>
        <v>3.8420191470459615E-2</v>
      </c>
      <c r="D45" s="78">
        <f t="shared" si="22"/>
        <v>-0.33068567087296713</v>
      </c>
      <c r="E45" s="78">
        <f t="shared" si="22"/>
        <v>-0.42798448691573449</v>
      </c>
      <c r="F45" s="78">
        <f t="shared" si="22"/>
        <v>-5.401654466670059E-2</v>
      </c>
      <c r="G45" s="78">
        <f t="shared" ref="G45:M47" si="23">IF(G15=0,0,((G15-G14)/G14))</f>
        <v>0.12520746387990991</v>
      </c>
      <c r="H45" s="78">
        <f t="shared" si="23"/>
        <v>0.19044167390277866</v>
      </c>
      <c r="I45" s="78">
        <f t="shared" si="23"/>
        <v>0.10629175123469933</v>
      </c>
      <c r="J45" s="78">
        <f t="shared" si="23"/>
        <v>7.7268055631676921E-2</v>
      </c>
      <c r="K45" s="78">
        <f t="shared" si="23"/>
        <v>7.1090077961367237E-2</v>
      </c>
      <c r="L45" s="78">
        <f t="shared" si="23"/>
        <v>0.15309197186222981</v>
      </c>
      <c r="M45" s="78">
        <f t="shared" si="23"/>
        <v>0.10382572159577448</v>
      </c>
      <c r="N45" s="78">
        <f>+(N15-N14)/N14</f>
        <v>-5.8361348292956791E-2</v>
      </c>
      <c r="T45" s="79"/>
    </row>
    <row r="46" spans="1:20">
      <c r="A46" s="4">
        <v>2013</v>
      </c>
      <c r="B46" s="78">
        <f t="shared" si="18"/>
        <v>7.1409455233880759E-2</v>
      </c>
      <c r="C46" s="78">
        <f t="shared" si="22"/>
        <v>-2.6733562563359767E-3</v>
      </c>
      <c r="D46" s="78">
        <f t="shared" si="22"/>
        <v>3.2398723536286665E-2</v>
      </c>
      <c r="E46" s="78">
        <f t="shared" si="22"/>
        <v>4.5503396443390999E-2</v>
      </c>
      <c r="F46" s="78">
        <f t="shared" si="22"/>
        <v>-2.5094122969447887E-2</v>
      </c>
      <c r="G46" s="78">
        <f t="shared" si="23"/>
        <v>5.4019547115898556E-2</v>
      </c>
      <c r="H46" s="78">
        <f t="shared" si="23"/>
        <v>-6.4718397775535841E-2</v>
      </c>
      <c r="I46" s="78">
        <f t="shared" si="23"/>
        <v>-2.7859447244766413E-3</v>
      </c>
      <c r="J46" s="78">
        <f t="shared" si="23"/>
        <v>0.14437476744123121</v>
      </c>
      <c r="K46" s="78">
        <f t="shared" si="23"/>
        <v>0.35368021347530565</v>
      </c>
      <c r="L46" s="78">
        <f t="shared" si="23"/>
        <v>-7.2757285746650149E-2</v>
      </c>
      <c r="M46" s="78">
        <f t="shared" si="23"/>
        <v>-2.8216196848708772E-2</v>
      </c>
      <c r="N46" s="78">
        <f>+(N16-N15)/N15</f>
        <v>4.6762201336908234E-2</v>
      </c>
      <c r="T46" s="79"/>
    </row>
    <row r="47" spans="1:20">
      <c r="A47" s="4">
        <v>2014</v>
      </c>
      <c r="B47" s="78">
        <f t="shared" si="18"/>
        <v>6.4509587683403868E-2</v>
      </c>
      <c r="C47" s="78">
        <f t="shared" si="22"/>
        <v>9.2706470286640252E-2</v>
      </c>
      <c r="D47" s="78">
        <f t="shared" si="22"/>
        <v>2.6238838857857397E-2</v>
      </c>
      <c r="E47" s="78">
        <f t="shared" si="22"/>
        <v>0.16354045847213766</v>
      </c>
      <c r="F47" s="78">
        <f t="shared" si="22"/>
        <v>0.18944585951525686</v>
      </c>
      <c r="G47" s="78">
        <f t="shared" si="23"/>
        <v>-0.13317742899065832</v>
      </c>
      <c r="H47" s="78">
        <f t="shared" si="23"/>
        <v>9.7157266975931897E-2</v>
      </c>
      <c r="I47" s="78">
        <f t="shared" si="23"/>
        <v>5.4617182655249778E-2</v>
      </c>
      <c r="J47" s="78">
        <f t="shared" si="23"/>
        <v>-4.7148316998517931E-2</v>
      </c>
      <c r="K47" s="78">
        <f t="shared" si="23"/>
        <v>-6.1115420356717395E-2</v>
      </c>
      <c r="L47" s="78">
        <f t="shared" si="23"/>
        <v>2.0397283891717684E-2</v>
      </c>
      <c r="M47" s="78">
        <f t="shared" si="23"/>
        <v>8.8291242251152979E-2</v>
      </c>
      <c r="N47" s="78">
        <f>(+N17-SUM(B16:I16))/SUM(B16:I16)</f>
        <v>0.71734797252629301</v>
      </c>
      <c r="T47" s="79"/>
    </row>
    <row r="48" spans="1:20">
      <c r="A48" s="4">
        <v>2015</v>
      </c>
      <c r="B48" s="78">
        <f t="shared" si="18"/>
        <v>0.11145767688037819</v>
      </c>
      <c r="C48" s="78">
        <f t="shared" si="22"/>
        <v>6.9112007353431593E-2</v>
      </c>
      <c r="D48" s="78">
        <f t="shared" si="22"/>
        <v>2.7025306838842453E-2</v>
      </c>
      <c r="E48" s="78">
        <f t="shared" si="22"/>
        <v>8.9415879137680884E-2</v>
      </c>
      <c r="F48" s="78">
        <f t="shared" si="22"/>
        <v>9.0097259396030333E-2</v>
      </c>
      <c r="G48" s="78">
        <f t="shared" ref="G48:M48" si="24">IF(G18=0,0,((G18-G17)/G17))</f>
        <v>6.6643708770427093E-2</v>
      </c>
      <c r="H48" s="78">
        <f t="shared" si="24"/>
        <v>0.11676820778817562</v>
      </c>
      <c r="I48" s="78">
        <f t="shared" si="24"/>
        <v>6.8767197793849585E-2</v>
      </c>
      <c r="J48" s="78">
        <f t="shared" si="24"/>
        <v>8.0524469315289407E-2</v>
      </c>
      <c r="K48" s="78">
        <f t="shared" si="24"/>
        <v>7.5188793016375613E-2</v>
      </c>
      <c r="L48" s="78">
        <f t="shared" si="24"/>
        <v>0.12863642848595422</v>
      </c>
      <c r="M48" s="78">
        <f t="shared" si="24"/>
        <v>0.16686145384618437</v>
      </c>
      <c r="N48" s="78">
        <f>(+N18-SUM(B17:I17))/SUM(B17:I17)</f>
        <v>0.74440945539335768</v>
      </c>
      <c r="T48" s="79"/>
    </row>
    <row r="49" spans="1:20">
      <c r="A49" s="4">
        <v>2016</v>
      </c>
      <c r="B49" s="78">
        <f t="shared" si="18"/>
        <v>9.5779809643746147E-2</v>
      </c>
      <c r="C49" s="78">
        <f t="shared" si="22"/>
        <v>0.11327933053175754</v>
      </c>
      <c r="D49" s="78">
        <f t="shared" si="22"/>
        <v>0.29965490747530371</v>
      </c>
      <c r="E49" s="78">
        <f t="shared" si="22"/>
        <v>0.32056072755773052</v>
      </c>
      <c r="F49" s="78">
        <f t="shared" si="22"/>
        <v>2.3882075745565012E-3</v>
      </c>
      <c r="G49" s="78">
        <f t="shared" ref="G49:M49" si="25">IF(G19=0,0,((G19-G18)/G18))</f>
        <v>0.23059117119722286</v>
      </c>
      <c r="H49" s="78">
        <f t="shared" si="25"/>
        <v>4.9717882417134408E-2</v>
      </c>
      <c r="I49" s="78">
        <f t="shared" si="25"/>
        <v>0.14494513590609268</v>
      </c>
      <c r="J49" s="78">
        <f t="shared" si="25"/>
        <v>0.16578946546068712</v>
      </c>
      <c r="K49" s="78">
        <f t="shared" si="25"/>
        <v>6.1879601592369431E-2</v>
      </c>
      <c r="L49" s="78">
        <f t="shared" si="25"/>
        <v>7.9631044236535442E-2</v>
      </c>
      <c r="M49" s="78">
        <f t="shared" si="25"/>
        <v>6.5933373482999158E-2</v>
      </c>
      <c r="N49" s="78">
        <f>(+N19-SUM(B18:I18))/SUM(B18:I18)</f>
        <v>0.83563476088540178</v>
      </c>
      <c r="T49" s="79"/>
    </row>
    <row r="50" spans="1:20">
      <c r="A50" s="4">
        <v>2017</v>
      </c>
      <c r="B50" s="78">
        <f t="shared" si="18"/>
        <v>-7.5285572072768814E-2</v>
      </c>
      <c r="C50" s="78">
        <f t="shared" si="22"/>
        <v>-2.3741140782920753E-2</v>
      </c>
      <c r="D50" s="78">
        <f t="shared" si="22"/>
        <v>-0.20929280060039188</v>
      </c>
      <c r="E50" s="78">
        <f t="shared" si="22"/>
        <v>-0.13417300686925013</v>
      </c>
      <c r="F50" s="78">
        <f t="shared" si="22"/>
        <v>0.25035179076073932</v>
      </c>
      <c r="G50" s="78">
        <f t="shared" ref="G50:M50" si="26">IF(G20=0,0,((G20-G19)/G19))</f>
        <v>-0.11803109366725373</v>
      </c>
      <c r="H50" s="78">
        <f t="shared" si="26"/>
        <v>0.30320185779011632</v>
      </c>
      <c r="I50" s="78">
        <f t="shared" si="26"/>
        <v>-7.9756888932072847E-2</v>
      </c>
      <c r="J50" s="78">
        <f t="shared" si="26"/>
        <v>6.2194096167353954E-2</v>
      </c>
      <c r="K50" s="78">
        <f t="shared" si="26"/>
        <v>5.2455054257103409E-2</v>
      </c>
      <c r="L50" s="78">
        <f t="shared" si="26"/>
        <v>7.9005737821281313E-2</v>
      </c>
      <c r="M50" s="78">
        <f t="shared" si="26"/>
        <v>8.3126830419450442E-3</v>
      </c>
      <c r="N50" s="78">
        <f>(+N20-SUM(B19:I19))/SUM(B19:I19)</f>
        <v>0.56436871818288847</v>
      </c>
      <c r="T50" s="79"/>
    </row>
    <row r="51" spans="1:20">
      <c r="A51" s="4">
        <v>2018</v>
      </c>
      <c r="B51" s="78">
        <f t="shared" si="18"/>
        <v>-2.9842765759894068E-2</v>
      </c>
      <c r="C51" s="78">
        <f t="shared" si="22"/>
        <v>-6.9524418793189033E-2</v>
      </c>
      <c r="D51" s="78">
        <f t="shared" si="22"/>
        <v>0.28537060903754319</v>
      </c>
      <c r="E51" s="78">
        <f t="shared" si="22"/>
        <v>-9.1098966427262895E-2</v>
      </c>
      <c r="F51" s="78">
        <f t="shared" si="22"/>
        <v>-0.50569438322100768</v>
      </c>
      <c r="G51" s="78">
        <f t="shared" ref="G51:M51" si="27">IF(G21=0,0,((G21-G20)/G20))</f>
        <v>0.49484725881558617</v>
      </c>
      <c r="H51" s="78">
        <f t="shared" si="27"/>
        <v>-0.22344537211233548</v>
      </c>
      <c r="I51" s="78">
        <f t="shared" si="27"/>
        <v>6.3413074255583585E-3</v>
      </c>
      <c r="J51" s="78">
        <f t="shared" si="27"/>
        <v>-0.18633964190936869</v>
      </c>
      <c r="K51" s="78">
        <f t="shared" si="27"/>
        <v>-4.8052806989383794E-2</v>
      </c>
      <c r="L51" s="78">
        <f t="shared" si="27"/>
        <v>-0.16313006523502471</v>
      </c>
      <c r="M51" s="78">
        <f t="shared" si="27"/>
        <v>-0.10855476896697114</v>
      </c>
      <c r="N51" s="78">
        <f>(+N21-SUM(B20:I20))/SUM(B20:I20)</f>
        <v>0.50118122300409895</v>
      </c>
      <c r="T51" s="79"/>
    </row>
    <row r="52" spans="1:20">
      <c r="B52" s="72"/>
      <c r="C52" s="142"/>
      <c r="D52" s="142"/>
      <c r="E52" s="142"/>
      <c r="F52" s="142"/>
      <c r="G52" s="142"/>
      <c r="H52" s="142"/>
      <c r="I52" s="79"/>
      <c r="J52" s="79"/>
      <c r="K52" s="79"/>
      <c r="L52" s="79"/>
      <c r="M52" s="79"/>
      <c r="N52" s="79"/>
      <c r="P52" s="74"/>
    </row>
    <row r="53" spans="1:20">
      <c r="A53" s="1" t="s">
        <v>521</v>
      </c>
      <c r="B53" s="78">
        <f>+SUM(B37:B46)/10</f>
        <v>4.9211235590223737E-2</v>
      </c>
      <c r="C53" s="78">
        <f t="shared" ref="C53:M53" si="28">+SUM(C37:C46)/10</f>
        <v>3.223346693742505E-2</v>
      </c>
      <c r="D53" s="78">
        <f t="shared" si="28"/>
        <v>5.9427831062530613E-2</v>
      </c>
      <c r="E53" s="78">
        <f t="shared" si="28"/>
        <v>7.3812863342075652E-2</v>
      </c>
      <c r="F53" s="78">
        <f t="shared" si="28"/>
        <v>2.0980342463945874E-2</v>
      </c>
      <c r="G53" s="78">
        <f t="shared" si="28"/>
        <v>4.1125898374383046E-2</v>
      </c>
      <c r="H53" s="78">
        <f t="shared" si="28"/>
        <v>3.6714722757464013E-3</v>
      </c>
      <c r="I53" s="78">
        <f t="shared" si="28"/>
        <v>1.5440397517753307E-2</v>
      </c>
      <c r="J53" s="78">
        <f t="shared" si="28"/>
        <v>4.8031594567213565E-2</v>
      </c>
      <c r="K53" s="78">
        <f t="shared" si="28"/>
        <v>5.896089801001838E-2</v>
      </c>
      <c r="L53" s="78">
        <f t="shared" si="28"/>
        <v>4.7824953751176118E-2</v>
      </c>
      <c r="M53" s="78">
        <f t="shared" si="28"/>
        <v>3.3134878527689073E-2</v>
      </c>
      <c r="N53" s="78">
        <f>+SUM(B53:M53)/12</f>
        <v>4.0321319368348402E-2</v>
      </c>
      <c r="P53" s="74"/>
    </row>
    <row r="54" spans="1:20">
      <c r="A54" s="1" t="s">
        <v>522</v>
      </c>
      <c r="B54" s="78">
        <f>+B46-B53</f>
        <v>2.2198219643657022E-2</v>
      </c>
      <c r="C54" s="78">
        <f t="shared" ref="C54:M54" si="29">+C46-C53</f>
        <v>-3.4906823193761025E-2</v>
      </c>
      <c r="D54" s="78">
        <f t="shared" si="29"/>
        <v>-2.7029107526243948E-2</v>
      </c>
      <c r="E54" s="78">
        <f t="shared" si="29"/>
        <v>-2.8309466898684653E-2</v>
      </c>
      <c r="F54" s="78">
        <f t="shared" si="29"/>
        <v>-4.607446543339376E-2</v>
      </c>
      <c r="G54" s="78">
        <f t="shared" si="29"/>
        <v>1.2893648741515509E-2</v>
      </c>
      <c r="H54" s="78">
        <f t="shared" si="29"/>
        <v>-6.8389870051282248E-2</v>
      </c>
      <c r="I54" s="78">
        <f t="shared" si="29"/>
        <v>-1.8226342242229947E-2</v>
      </c>
      <c r="J54" s="78">
        <f t="shared" si="29"/>
        <v>9.6343172874017641E-2</v>
      </c>
      <c r="K54" s="78">
        <f t="shared" si="29"/>
        <v>0.29471931546528729</v>
      </c>
      <c r="L54" s="78">
        <f t="shared" si="29"/>
        <v>-0.12058223949782626</v>
      </c>
      <c r="M54" s="78">
        <f t="shared" si="29"/>
        <v>-6.1351075376397848E-2</v>
      </c>
      <c r="N54" s="78">
        <f>+SUM(B54:M54)/12</f>
        <v>1.7737472087214826E-3</v>
      </c>
      <c r="P54" s="74"/>
    </row>
    <row r="55" spans="1:20">
      <c r="B55" s="72"/>
      <c r="C55" s="72"/>
      <c r="D55" s="72"/>
      <c r="E55" s="72"/>
      <c r="F55" s="72"/>
      <c r="G55" s="72"/>
      <c r="H55" s="72"/>
      <c r="I55" s="74"/>
      <c r="J55" s="74"/>
      <c r="K55" s="74"/>
      <c r="L55" s="74"/>
      <c r="M55" s="74"/>
      <c r="N55" s="74"/>
      <c r="P55" s="74"/>
    </row>
    <row r="56" spans="1:20" ht="10.5">
      <c r="A56" s="77" t="s">
        <v>321</v>
      </c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4"/>
      <c r="P56" s="72"/>
    </row>
    <row r="57" spans="1:20" ht="10.5">
      <c r="A57" s="15" t="s">
        <v>306</v>
      </c>
      <c r="B57" s="16" t="s">
        <v>307</v>
      </c>
      <c r="C57" s="16" t="s">
        <v>308</v>
      </c>
      <c r="D57" s="16" t="s">
        <v>309</v>
      </c>
      <c r="E57" s="16" t="s">
        <v>310</v>
      </c>
      <c r="F57" s="16" t="s">
        <v>311</v>
      </c>
      <c r="G57" s="16" t="s">
        <v>312</v>
      </c>
      <c r="H57" s="62" t="s">
        <v>313</v>
      </c>
      <c r="I57" s="62" t="s">
        <v>314</v>
      </c>
      <c r="J57" s="63" t="s">
        <v>318</v>
      </c>
      <c r="K57" s="62" t="s">
        <v>315</v>
      </c>
      <c r="L57" s="62" t="s">
        <v>316</v>
      </c>
      <c r="M57" s="62" t="s">
        <v>317</v>
      </c>
      <c r="N57" s="72"/>
      <c r="O57" s="74"/>
      <c r="P57" s="74"/>
    </row>
    <row r="58" spans="1:20">
      <c r="A58" s="4">
        <v>2000</v>
      </c>
      <c r="B58" s="78">
        <f t="shared" ref="B58:B76" si="30">+B3/$N3</f>
        <v>9.6556530676925323E-2</v>
      </c>
      <c r="C58" s="78">
        <f t="shared" ref="C58:C66" si="31">+SUM(B3:C3)/$N3</f>
        <v>0.18120802204233391</v>
      </c>
      <c r="D58" s="78">
        <f t="shared" ref="D58:D66" si="32">+SUM(B3:D3)/$N3</f>
        <v>0.26942162061511699</v>
      </c>
      <c r="E58" s="78">
        <f t="shared" ref="E58:E66" si="33">+SUM(B3:E3)/$N3</f>
        <v>0.37527594252348928</v>
      </c>
      <c r="F58" s="78">
        <f t="shared" ref="F58:F66" si="34">+SUM(B3:F3)/$N3</f>
        <v>0.45827148843166643</v>
      </c>
      <c r="G58" s="78">
        <f t="shared" ref="G58:G66" si="35">+SUM(B3:G3)/$N3</f>
        <v>0.52114703476305091</v>
      </c>
      <c r="H58" s="78">
        <f t="shared" ref="H58:H66" si="36">+SUM(B3:H3)/$N3</f>
        <v>0.57799237404423909</v>
      </c>
      <c r="I58" s="78">
        <f t="shared" ref="I58:I66" si="37">+SUM(B3:I3)/$N3</f>
        <v>0.63886504746372308</v>
      </c>
      <c r="J58" s="78">
        <f t="shared" ref="J58:J66" si="38">+SUM(B3:J3)/$N3</f>
        <v>0.71690766024964614</v>
      </c>
      <c r="K58" s="78">
        <f t="shared" ref="K58:K66" si="39">+SUM(B3:K3)/$N3</f>
        <v>0.8097548087030515</v>
      </c>
      <c r="L58" s="78">
        <f t="shared" ref="L58:L66" si="40">+SUM(B3:L3)/$N3</f>
        <v>0.91075394527226416</v>
      </c>
      <c r="M58" s="78">
        <f t="shared" ref="M58:M66" si="41">+SUM(B3:M3)/$N3</f>
        <v>1</v>
      </c>
    </row>
    <row r="59" spans="1:20">
      <c r="A59" s="4">
        <v>2001</v>
      </c>
      <c r="B59" s="78">
        <f t="shared" si="30"/>
        <v>8.2232930293909781E-2</v>
      </c>
      <c r="C59" s="78">
        <f t="shared" si="31"/>
        <v>0.16029287610200993</v>
      </c>
      <c r="D59" s="78">
        <f t="shared" si="32"/>
        <v>0.24133220863523117</v>
      </c>
      <c r="E59" s="78">
        <f t="shared" si="33"/>
        <v>0.35497392788368659</v>
      </c>
      <c r="F59" s="78">
        <f t="shared" si="34"/>
        <v>0.44066779456310173</v>
      </c>
      <c r="G59" s="78">
        <f t="shared" si="35"/>
        <v>0.5028816934155963</v>
      </c>
      <c r="H59" s="78">
        <f t="shared" si="36"/>
        <v>0.56103649421876178</v>
      </c>
      <c r="I59" s="78">
        <f t="shared" si="37"/>
        <v>0.6215269751788437</v>
      </c>
      <c r="J59" s="78">
        <f t="shared" si="38"/>
        <v>0.70492997596753715</v>
      </c>
      <c r="K59" s="78">
        <f t="shared" si="39"/>
        <v>0.81151522922088859</v>
      </c>
      <c r="L59" s="78">
        <f t="shared" si="40"/>
        <v>0.90887379005577673</v>
      </c>
      <c r="M59" s="78">
        <f t="shared" si="41"/>
        <v>1</v>
      </c>
    </row>
    <row r="60" spans="1:20">
      <c r="A60" s="4">
        <v>2002</v>
      </c>
      <c r="B60" s="78">
        <f t="shared" si="30"/>
        <v>0.10338036795378271</v>
      </c>
      <c r="C60" s="78">
        <f t="shared" si="31"/>
        <v>0.18996868537114858</v>
      </c>
      <c r="D60" s="78">
        <f t="shared" si="32"/>
        <v>0.2762585551790912</v>
      </c>
      <c r="E60" s="78">
        <f t="shared" si="33"/>
        <v>0.37557600955186993</v>
      </c>
      <c r="F60" s="78">
        <f t="shared" si="34"/>
        <v>0.45181734282798253</v>
      </c>
      <c r="G60" s="78">
        <f t="shared" si="35"/>
        <v>0.51425313563323582</v>
      </c>
      <c r="H60" s="78">
        <f t="shared" si="36"/>
        <v>0.5688811136684947</v>
      </c>
      <c r="I60" s="78">
        <f t="shared" si="37"/>
        <v>0.62777400328617772</v>
      </c>
      <c r="J60" s="78">
        <f t="shared" si="38"/>
        <v>0.71627470593992559</v>
      </c>
      <c r="K60" s="78">
        <f t="shared" si="39"/>
        <v>0.82006145143402887</v>
      </c>
      <c r="L60" s="78">
        <f t="shared" si="40"/>
        <v>0.92230071891523335</v>
      </c>
      <c r="M60" s="78">
        <f t="shared" si="41"/>
        <v>1</v>
      </c>
    </row>
    <row r="61" spans="1:20">
      <c r="A61" s="4">
        <v>2003</v>
      </c>
      <c r="B61" s="78">
        <f t="shared" si="30"/>
        <v>8.7034815814139119E-2</v>
      </c>
      <c r="C61" s="78">
        <f t="shared" si="31"/>
        <v>0.17115190177060302</v>
      </c>
      <c r="D61" s="78">
        <f t="shared" si="32"/>
        <v>0.25291970002099695</v>
      </c>
      <c r="E61" s="78">
        <f t="shared" si="33"/>
        <v>0.35349967082688394</v>
      </c>
      <c r="F61" s="78">
        <f t="shared" si="34"/>
        <v>0.43310889843014444</v>
      </c>
      <c r="G61" s="78">
        <f t="shared" si="35"/>
        <v>0.49459817470815165</v>
      </c>
      <c r="H61" s="78">
        <f t="shared" si="36"/>
        <v>0.56786196557417001</v>
      </c>
      <c r="I61" s="78">
        <f t="shared" si="37"/>
        <v>0.63949864596137551</v>
      </c>
      <c r="J61" s="78">
        <f t="shared" si="38"/>
        <v>0.71981281965489796</v>
      </c>
      <c r="K61" s="78">
        <f t="shared" si="39"/>
        <v>0.82335388359676676</v>
      </c>
      <c r="L61" s="78">
        <f t="shared" si="40"/>
        <v>0.91518064842527069</v>
      </c>
      <c r="M61" s="78">
        <f t="shared" si="41"/>
        <v>1</v>
      </c>
    </row>
    <row r="62" spans="1:20">
      <c r="A62" s="4">
        <v>2004</v>
      </c>
      <c r="B62" s="78">
        <f t="shared" si="30"/>
        <v>8.9899235878139416E-2</v>
      </c>
      <c r="C62" s="78">
        <f t="shared" si="31"/>
        <v>0.17355635890146862</v>
      </c>
      <c r="D62" s="78">
        <f t="shared" si="32"/>
        <v>0.26498918037845332</v>
      </c>
      <c r="E62" s="78">
        <f t="shared" si="33"/>
        <v>0.36301869790112762</v>
      </c>
      <c r="F62" s="78">
        <f t="shared" si="34"/>
        <v>0.43914655173170242</v>
      </c>
      <c r="G62" s="78">
        <f t="shared" si="35"/>
        <v>0.50058103940605181</v>
      </c>
      <c r="H62" s="78">
        <f t="shared" si="36"/>
        <v>0.55638758137038002</v>
      </c>
      <c r="I62" s="78">
        <f t="shared" si="37"/>
        <v>0.62224510847358006</v>
      </c>
      <c r="J62" s="78">
        <f t="shared" si="38"/>
        <v>0.7028631447357242</v>
      </c>
      <c r="K62" s="78">
        <f t="shared" si="39"/>
        <v>0.80864183933132905</v>
      </c>
      <c r="L62" s="78">
        <f t="shared" si="40"/>
        <v>0.90867905273320804</v>
      </c>
      <c r="M62" s="78">
        <f t="shared" si="41"/>
        <v>1</v>
      </c>
    </row>
    <row r="63" spans="1:20">
      <c r="A63" s="42">
        <v>2005</v>
      </c>
      <c r="B63" s="78">
        <f t="shared" si="30"/>
        <v>9.4804199408357076E-2</v>
      </c>
      <c r="C63" s="78">
        <f t="shared" si="31"/>
        <v>0.17442700180880266</v>
      </c>
      <c r="D63" s="78">
        <f t="shared" si="32"/>
        <v>0.25882442649359499</v>
      </c>
      <c r="E63" s="78">
        <f t="shared" si="33"/>
        <v>0.36923575318693014</v>
      </c>
      <c r="F63" s="78">
        <f t="shared" si="34"/>
        <v>0.45281987156633668</v>
      </c>
      <c r="G63" s="78">
        <f t="shared" si="35"/>
        <v>0.52257624458350227</v>
      </c>
      <c r="H63" s="78">
        <f t="shared" si="36"/>
        <v>0.57293292221881253</v>
      </c>
      <c r="I63" s="78">
        <f t="shared" si="37"/>
        <v>0.63534854932350759</v>
      </c>
      <c r="J63" s="78">
        <f t="shared" si="38"/>
        <v>0.7130111808005577</v>
      </c>
      <c r="K63" s="78">
        <f t="shared" si="39"/>
        <v>0.81257933886249689</v>
      </c>
      <c r="L63" s="78">
        <f t="shared" si="40"/>
        <v>0.90888260416478162</v>
      </c>
      <c r="M63" s="78">
        <f t="shared" si="41"/>
        <v>1</v>
      </c>
    </row>
    <row r="64" spans="1:20">
      <c r="A64" s="4">
        <v>2006</v>
      </c>
      <c r="B64" s="78">
        <f t="shared" si="30"/>
        <v>0.10575222668332587</v>
      </c>
      <c r="C64" s="78">
        <f t="shared" si="31"/>
        <v>0.18823048865844111</v>
      </c>
      <c r="D64" s="78">
        <f t="shared" si="32"/>
        <v>0.27904484077008396</v>
      </c>
      <c r="E64" s="78">
        <f t="shared" si="33"/>
        <v>0.38407033580255762</v>
      </c>
      <c r="F64" s="78">
        <f t="shared" si="34"/>
        <v>0.45691286619461907</v>
      </c>
      <c r="G64" s="78">
        <f t="shared" si="35"/>
        <v>0.51268651742046611</v>
      </c>
      <c r="H64" s="78">
        <f t="shared" si="36"/>
        <v>0.56637414709009759</v>
      </c>
      <c r="I64" s="78">
        <f t="shared" si="37"/>
        <v>0.62922153420135163</v>
      </c>
      <c r="J64" s="78">
        <f t="shared" si="38"/>
        <v>0.70882626821678196</v>
      </c>
      <c r="K64" s="78">
        <f t="shared" si="39"/>
        <v>0.81364562191110512</v>
      </c>
      <c r="L64" s="78">
        <f t="shared" si="40"/>
        <v>0.91274113209298602</v>
      </c>
      <c r="M64" s="78">
        <f t="shared" si="41"/>
        <v>1</v>
      </c>
    </row>
    <row r="65" spans="1:14">
      <c r="A65" s="4">
        <v>2007</v>
      </c>
      <c r="B65" s="78">
        <f t="shared" si="30"/>
        <v>9.1855073541418711E-2</v>
      </c>
      <c r="C65" s="78">
        <f t="shared" si="31"/>
        <v>0.17450798352807315</v>
      </c>
      <c r="D65" s="78">
        <f t="shared" si="32"/>
        <v>0.27447456315859226</v>
      </c>
      <c r="E65" s="78">
        <f t="shared" si="33"/>
        <v>0.37411365273588232</v>
      </c>
      <c r="F65" s="78">
        <f t="shared" si="34"/>
        <v>0.44751025027459335</v>
      </c>
      <c r="G65" s="78">
        <f t="shared" si="35"/>
        <v>0.50169842476696347</v>
      </c>
      <c r="H65" s="78">
        <f t="shared" si="36"/>
        <v>0.55813532072964123</v>
      </c>
      <c r="I65" s="78">
        <f t="shared" si="37"/>
        <v>0.62275882648048697</v>
      </c>
      <c r="J65" s="78">
        <f t="shared" si="38"/>
        <v>0.70977743222791889</v>
      </c>
      <c r="K65" s="78">
        <f t="shared" si="39"/>
        <v>0.80961801425054136</v>
      </c>
      <c r="L65" s="78">
        <f t="shared" si="40"/>
        <v>0.90984118254157342</v>
      </c>
      <c r="M65" s="78">
        <f t="shared" si="41"/>
        <v>1</v>
      </c>
    </row>
    <row r="66" spans="1:14">
      <c r="A66" s="4">
        <v>2008</v>
      </c>
      <c r="B66" s="78">
        <f t="shared" si="30"/>
        <v>9.1675859983463531E-2</v>
      </c>
      <c r="C66" s="78">
        <f t="shared" si="31"/>
        <v>0.17409232919380596</v>
      </c>
      <c r="D66" s="78">
        <f t="shared" si="32"/>
        <v>0.2752236424024832</v>
      </c>
      <c r="E66" s="78">
        <f t="shared" si="33"/>
        <v>0.38676738999963128</v>
      </c>
      <c r="F66" s="78">
        <f t="shared" si="34"/>
        <v>0.46613191949533789</v>
      </c>
      <c r="G66" s="78">
        <f t="shared" si="35"/>
        <v>0.5172503205978406</v>
      </c>
      <c r="H66" s="78">
        <f t="shared" si="36"/>
        <v>0.57245128457676875</v>
      </c>
      <c r="I66" s="78">
        <f t="shared" si="37"/>
        <v>0.63368102353422417</v>
      </c>
      <c r="J66" s="78">
        <f t="shared" si="38"/>
        <v>0.71312634980282674</v>
      </c>
      <c r="K66" s="78">
        <f t="shared" si="39"/>
        <v>0.82078037353583211</v>
      </c>
      <c r="L66" s="78">
        <f t="shared" si="40"/>
        <v>0.91557844013879885</v>
      </c>
      <c r="M66" s="78">
        <f t="shared" si="41"/>
        <v>1</v>
      </c>
    </row>
    <row r="67" spans="1:14">
      <c r="A67" s="4">
        <v>2009</v>
      </c>
      <c r="B67" s="78">
        <f t="shared" si="30"/>
        <v>0.10512188812545434</v>
      </c>
      <c r="C67" s="78">
        <f t="shared" ref="C67:M67" si="42">+C12/$N12</f>
        <v>9.1456207932423456E-2</v>
      </c>
      <c r="D67" s="78">
        <f t="shared" si="42"/>
        <v>0.11114195855899697</v>
      </c>
      <c r="E67" s="78">
        <f t="shared" si="42"/>
        <v>0.10975541493116497</v>
      </c>
      <c r="F67" s="78">
        <f t="shared" si="42"/>
        <v>7.2727520559064313E-2</v>
      </c>
      <c r="G67" s="78">
        <f t="shared" si="42"/>
        <v>5.2526367929635956E-2</v>
      </c>
      <c r="H67" s="78">
        <f t="shared" si="42"/>
        <v>5.767002775603703E-2</v>
      </c>
      <c r="I67" s="78">
        <f t="shared" si="42"/>
        <v>6.3336565318290072E-2</v>
      </c>
      <c r="J67" s="78">
        <f t="shared" si="42"/>
        <v>7.6501981069244232E-2</v>
      </c>
      <c r="K67" s="78">
        <f t="shared" si="42"/>
        <v>9.6340855761307728E-2</v>
      </c>
      <c r="L67" s="78">
        <f t="shared" si="42"/>
        <v>8.3987906227727241E-2</v>
      </c>
      <c r="M67" s="78">
        <f t="shared" si="42"/>
        <v>7.9433305830653708E-2</v>
      </c>
    </row>
    <row r="68" spans="1:14">
      <c r="A68" s="4">
        <v>2010</v>
      </c>
      <c r="B68" s="78">
        <f t="shared" si="30"/>
        <v>9.3206504676059634E-2</v>
      </c>
      <c r="C68" s="78">
        <f t="shared" ref="C68:M68" si="43">+C13/$N13</f>
        <v>8.2144281293689433E-2</v>
      </c>
      <c r="D68" s="78">
        <f t="shared" si="43"/>
        <v>9.6947838187638691E-2</v>
      </c>
      <c r="E68" s="78">
        <f t="shared" si="43"/>
        <v>0.10536422832630402</v>
      </c>
      <c r="F68" s="78">
        <f t="shared" si="43"/>
        <v>6.8657281976145207E-2</v>
      </c>
      <c r="G68" s="78">
        <f t="shared" si="43"/>
        <v>5.0160176242513496E-2</v>
      </c>
      <c r="H68" s="78">
        <f t="shared" si="43"/>
        <v>5.5135119841379046E-2</v>
      </c>
      <c r="I68" s="78">
        <f t="shared" si="43"/>
        <v>6.1863842496321361E-2</v>
      </c>
      <c r="J68" s="78">
        <f t="shared" si="43"/>
        <v>8.5808013170406552E-2</v>
      </c>
      <c r="K68" s="78">
        <f t="shared" si="43"/>
        <v>0.10555316306890539</v>
      </c>
      <c r="L68" s="78">
        <f t="shared" si="43"/>
        <v>9.8836770849097963E-2</v>
      </c>
      <c r="M68" s="78">
        <f t="shared" si="43"/>
        <v>9.6322779871539033E-2</v>
      </c>
    </row>
    <row r="69" spans="1:14">
      <c r="A69" s="4">
        <v>2011</v>
      </c>
      <c r="B69" s="78">
        <f t="shared" si="30"/>
        <v>8.9930424201872888E-2</v>
      </c>
      <c r="C69" s="78">
        <f t="shared" ref="C69:M69" si="44">+C14/$N14</f>
        <v>7.8240559622870451E-2</v>
      </c>
      <c r="D69" s="78">
        <f t="shared" si="44"/>
        <v>0.12464733080330835</v>
      </c>
      <c r="E69" s="78">
        <f t="shared" si="44"/>
        <v>0.16664437520157249</v>
      </c>
      <c r="F69" s="78">
        <f t="shared" si="44"/>
        <v>7.0196358539394502E-2</v>
      </c>
      <c r="G69" s="78">
        <f t="shared" si="44"/>
        <v>5.0860456678106611E-2</v>
      </c>
      <c r="H69" s="78">
        <f t="shared" si="44"/>
        <v>4.5593523276217442E-2</v>
      </c>
      <c r="I69" s="78">
        <f t="shared" si="44"/>
        <v>5.2850407617270202E-2</v>
      </c>
      <c r="J69" s="78">
        <f t="shared" si="44"/>
        <v>7.1123982410311357E-2</v>
      </c>
      <c r="K69" s="78">
        <f t="shared" si="44"/>
        <v>8.4297871336071681E-2</v>
      </c>
      <c r="L69" s="78">
        <f t="shared" si="44"/>
        <v>9.2417252370522132E-2</v>
      </c>
      <c r="M69" s="78">
        <f t="shared" si="44"/>
        <v>7.3197457942482072E-2</v>
      </c>
    </row>
    <row r="70" spans="1:14">
      <c r="A70" s="4">
        <v>2012</v>
      </c>
      <c r="B70" s="78">
        <f t="shared" si="30"/>
        <v>9.6629494125595849E-2</v>
      </c>
      <c r="C70" s="78">
        <f t="shared" ref="C70:M70" si="45">+C15/$N15</f>
        <v>8.6282117622348803E-2</v>
      </c>
      <c r="D70" s="78">
        <f t="shared" si="45"/>
        <v>8.8599001796335938E-2</v>
      </c>
      <c r="E70" s="78">
        <f t="shared" si="45"/>
        <v>0.10123115444627129</v>
      </c>
      <c r="F70" s="78">
        <f t="shared" si="45"/>
        <v>7.0520250716695251E-2</v>
      </c>
      <c r="G70" s="78">
        <f t="shared" si="45"/>
        <v>6.0775505940415628E-2</v>
      </c>
      <c r="H70" s="78">
        <f t="shared" si="45"/>
        <v>5.7640401729125004E-2</v>
      </c>
      <c r="I70" s="78">
        <f t="shared" si="45"/>
        <v>6.209172689585786E-2</v>
      </c>
      <c r="J70" s="78">
        <f t="shared" si="45"/>
        <v>8.1368361527044783E-2</v>
      </c>
      <c r="K70" s="78">
        <f t="shared" si="45"/>
        <v>9.5886690098847996E-2</v>
      </c>
      <c r="L70" s="78">
        <f t="shared" si="45"/>
        <v>0.11317036697339047</v>
      </c>
      <c r="M70" s="78">
        <f t="shared" si="45"/>
        <v>8.5804928128071098E-2</v>
      </c>
    </row>
    <row r="71" spans="1:14">
      <c r="A71" s="4">
        <v>2013</v>
      </c>
      <c r="B71" s="78">
        <f t="shared" si="30"/>
        <v>9.8904749835639419E-2</v>
      </c>
      <c r="C71" s="78">
        <f t="shared" ref="C71:M71" si="46">+C16/$N16</f>
        <v>8.2207262235386047E-2</v>
      </c>
      <c r="D71" s="78">
        <f t="shared" si="46"/>
        <v>8.738326264007526E-2</v>
      </c>
      <c r="E71" s="78">
        <f t="shared" si="46"/>
        <v>0.10110941688980372</v>
      </c>
      <c r="F71" s="78">
        <f t="shared" si="46"/>
        <v>6.5679298302486477E-2</v>
      </c>
      <c r="G71" s="78">
        <f t="shared" si="46"/>
        <v>6.1196870851127294E-2</v>
      </c>
      <c r="H71" s="78">
        <f t="shared" si="46"/>
        <v>5.150167556033719E-2</v>
      </c>
      <c r="I71" s="78">
        <f t="shared" si="46"/>
        <v>5.915263533379124E-2</v>
      </c>
      <c r="J71" s="78">
        <f t="shared" si="46"/>
        <v>8.8956115993355261E-2</v>
      </c>
      <c r="K71" s="78">
        <f t="shared" si="46"/>
        <v>0.12400133951786817</v>
      </c>
      <c r="L71" s="78">
        <f t="shared" si="46"/>
        <v>0.10024855512687707</v>
      </c>
      <c r="M71" s="78">
        <f t="shared" si="46"/>
        <v>7.9658817713252936E-2</v>
      </c>
    </row>
    <row r="72" spans="1:14">
      <c r="A72" s="4">
        <v>2014</v>
      </c>
      <c r="B72" s="78">
        <f t="shared" si="30"/>
        <v>0.10097713210178247</v>
      </c>
      <c r="C72" s="78">
        <f t="shared" ref="C72:M72" si="47">+C17/$N17</f>
        <v>8.6152920766084426E-2</v>
      </c>
      <c r="D72" s="78">
        <f t="shared" si="47"/>
        <v>8.6006843408532679E-2</v>
      </c>
      <c r="E72" s="78">
        <f t="shared" si="47"/>
        <v>0.1128312503062717</v>
      </c>
      <c r="F72" s="78">
        <f t="shared" si="47"/>
        <v>7.4925472245351205E-2</v>
      </c>
      <c r="G72" s="78">
        <f t="shared" si="47"/>
        <v>5.0876325034237842E-2</v>
      </c>
      <c r="H72" s="78">
        <f t="shared" si="47"/>
        <v>5.4193418677631881E-2</v>
      </c>
      <c r="I72" s="78">
        <f t="shared" si="47"/>
        <v>5.9830860161558863E-2</v>
      </c>
      <c r="J72" s="78">
        <f t="shared" si="47"/>
        <v>8.1293799803225431E-2</v>
      </c>
      <c r="K72" s="78">
        <f t="shared" si="47"/>
        <v>0.11165929684669834</v>
      </c>
      <c r="L72" s="78">
        <f t="shared" si="47"/>
        <v>9.8107841689132239E-2</v>
      </c>
      <c r="M72" s="78">
        <f t="shared" si="47"/>
        <v>8.31448389594929E-2</v>
      </c>
    </row>
    <row r="73" spans="1:14">
      <c r="A73" s="4">
        <v>2015</v>
      </c>
      <c r="B73" s="78">
        <f t="shared" si="30"/>
        <v>0.10281014704775639</v>
      </c>
      <c r="C73" s="78">
        <f t="shared" ref="C73:M73" si="48">+C18/$N18</f>
        <v>8.4374892250478534E-2</v>
      </c>
      <c r="D73" s="78">
        <f t="shared" si="48"/>
        <v>8.0915956505839465E-2</v>
      </c>
      <c r="E73" s="78">
        <f t="shared" si="48"/>
        <v>0.11260122631800881</v>
      </c>
      <c r="F73" s="78">
        <f t="shared" si="48"/>
        <v>7.4819492010312946E-2</v>
      </c>
      <c r="G73" s="78">
        <f t="shared" si="48"/>
        <v>4.9711300845502945E-2</v>
      </c>
      <c r="H73" s="78">
        <f t="shared" si="48"/>
        <v>5.5440815373905293E-2</v>
      </c>
      <c r="I73" s="78">
        <f t="shared" si="48"/>
        <v>5.857716933946637E-2</v>
      </c>
      <c r="J73" s="78">
        <f t="shared" si="48"/>
        <v>8.0465932469337129E-2</v>
      </c>
      <c r="K73" s="78">
        <f t="shared" si="48"/>
        <v>0.10997643465289361</v>
      </c>
      <c r="L73" s="78">
        <f t="shared" si="48"/>
        <v>0.10143265745310645</v>
      </c>
      <c r="M73" s="78">
        <f t="shared" si="48"/>
        <v>8.8873975733391924E-2</v>
      </c>
    </row>
    <row r="74" spans="1:14">
      <c r="A74" s="4">
        <v>2016</v>
      </c>
      <c r="B74" s="78">
        <f t="shared" si="30"/>
        <v>9.9107446065387017E-2</v>
      </c>
      <c r="C74" s="78">
        <f t="shared" ref="C74:M74" si="49">+C19/$N19</f>
        <v>8.2635067763054709E-2</v>
      </c>
      <c r="D74" s="78">
        <f t="shared" si="49"/>
        <v>9.2514378093191574E-2</v>
      </c>
      <c r="E74" s="78">
        <f t="shared" si="49"/>
        <v>0.13081227790592706</v>
      </c>
      <c r="F74" s="78">
        <f t="shared" si="49"/>
        <v>6.5977782434410923E-2</v>
      </c>
      <c r="G74" s="78">
        <f t="shared" si="49"/>
        <v>5.3816559929648691E-2</v>
      </c>
      <c r="H74" s="78">
        <f t="shared" si="49"/>
        <v>5.1197554261636566E-2</v>
      </c>
      <c r="I74" s="78">
        <f t="shared" si="49"/>
        <v>5.9001094489233713E-2</v>
      </c>
      <c r="J74" s="78">
        <f t="shared" si="49"/>
        <v>8.2523793829190895E-2</v>
      </c>
      <c r="K74" s="78">
        <f t="shared" si="49"/>
        <v>0.10273582782312107</v>
      </c>
      <c r="L74" s="78">
        <f t="shared" si="49"/>
        <v>9.6338566144311896E-2</v>
      </c>
      <c r="M74" s="78">
        <f t="shared" si="49"/>
        <v>8.333965126088598E-2</v>
      </c>
    </row>
    <row r="75" spans="1:14">
      <c r="A75" s="4">
        <v>2017</v>
      </c>
      <c r="B75" s="78">
        <f t="shared" si="30"/>
        <v>9.224833976943117E-2</v>
      </c>
      <c r="C75" s="78">
        <f t="shared" ref="C75:M75" si="50">+C20/$N20</f>
        <v>8.1203362992570055E-2</v>
      </c>
      <c r="D75" s="78">
        <f t="shared" si="50"/>
        <v>7.3632503538707428E-2</v>
      </c>
      <c r="E75" s="78">
        <f t="shared" si="50"/>
        <v>0.11400509735303387</v>
      </c>
      <c r="F75" s="78">
        <f t="shared" si="50"/>
        <v>8.3037559196615068E-2</v>
      </c>
      <c r="G75" s="78">
        <f t="shared" si="50"/>
        <v>4.7776446833128761E-2</v>
      </c>
      <c r="H75" s="78">
        <f t="shared" si="50"/>
        <v>6.715920484465418E-2</v>
      </c>
      <c r="I75" s="78">
        <f t="shared" si="50"/>
        <v>5.4652153966753228E-2</v>
      </c>
      <c r="J75" s="78">
        <f t="shared" si="50"/>
        <v>8.8232322017328751E-2</v>
      </c>
      <c r="K75" s="78">
        <f t="shared" si="50"/>
        <v>0.10883538626889046</v>
      </c>
      <c r="L75" s="78">
        <f t="shared" si="50"/>
        <v>0.10463297471266557</v>
      </c>
      <c r="M75" s="78">
        <f t="shared" si="50"/>
        <v>8.4584648506221424E-2</v>
      </c>
    </row>
    <row r="76" spans="1:14">
      <c r="A76" s="4">
        <v>2018</v>
      </c>
      <c r="B76" s="78">
        <f t="shared" si="30"/>
        <v>9.7140661838772194E-2</v>
      </c>
      <c r="C76" s="78">
        <f t="shared" ref="C76:M76" si="51">+C21/$N21</f>
        <v>8.2012371226490757E-2</v>
      </c>
      <c r="D76" s="78">
        <f t="shared" si="51"/>
        <v>0.1027302405509404</v>
      </c>
      <c r="E76" s="78">
        <f t="shared" si="51"/>
        <v>0.11247117698679189</v>
      </c>
      <c r="F76" s="78">
        <f t="shared" si="51"/>
        <v>4.4552337343910439E-2</v>
      </c>
      <c r="G76" s="78">
        <f t="shared" si="51"/>
        <v>7.7519513791010922E-2</v>
      </c>
      <c r="H76" s="78">
        <f t="shared" si="51"/>
        <v>5.6608015563718868E-2</v>
      </c>
      <c r="I76" s="78">
        <f t="shared" si="51"/>
        <v>5.9697061707271362E-2</v>
      </c>
      <c r="J76" s="78">
        <f t="shared" si="51"/>
        <v>7.7924000258426024E-2</v>
      </c>
      <c r="K76" s="78">
        <f t="shared" si="51"/>
        <v>0.11245618686006129</v>
      </c>
      <c r="L76" s="78">
        <f t="shared" si="51"/>
        <v>9.5044482664476682E-2</v>
      </c>
      <c r="M76" s="78">
        <f t="shared" si="51"/>
        <v>8.1843951208129137E-2</v>
      </c>
    </row>
    <row r="78" spans="1:14">
      <c r="A78" s="1" t="s">
        <v>875</v>
      </c>
      <c r="B78" s="250">
        <f>+SUM(B67:B76)/10</f>
        <v>9.7607678778775131E-2</v>
      </c>
      <c r="C78" s="250">
        <f t="shared" ref="C78:M78" si="52">+SUM(C67:C76)/10</f>
        <v>8.3670904370539673E-2</v>
      </c>
      <c r="D78" s="250">
        <f t="shared" si="52"/>
        <v>9.4451931408356685E-2</v>
      </c>
      <c r="E78" s="250">
        <f t="shared" si="52"/>
        <v>0.11668256186651497</v>
      </c>
      <c r="F78" s="250">
        <f t="shared" si="52"/>
        <v>6.9109335332438626E-2</v>
      </c>
      <c r="G78" s="250">
        <f t="shared" si="52"/>
        <v>5.5521952407532812E-2</v>
      </c>
      <c r="H78" s="250">
        <f t="shared" si="52"/>
        <v>5.5213975688464242E-2</v>
      </c>
      <c r="I78" s="250">
        <f t="shared" si="52"/>
        <v>5.9105351732581433E-2</v>
      </c>
      <c r="J78" s="250">
        <f t="shared" si="52"/>
        <v>8.1419830254787037E-2</v>
      </c>
      <c r="K78" s="250">
        <f t="shared" si="52"/>
        <v>0.10517430522346657</v>
      </c>
      <c r="L78" s="250">
        <f t="shared" si="52"/>
        <v>9.8421737421130778E-2</v>
      </c>
      <c r="M78" s="250">
        <f t="shared" si="52"/>
        <v>8.3620435515412012E-2</v>
      </c>
      <c r="N78" s="250"/>
    </row>
    <row r="79" spans="1:14"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</row>
    <row r="80" spans="1:14">
      <c r="A80" s="1" t="s">
        <v>835</v>
      </c>
      <c r="B80" s="250">
        <f>+IF(B15=0," ",B75-B78)</f>
        <v>-5.3593390093439608E-3</v>
      </c>
      <c r="C80" s="250">
        <f t="shared" ref="C80:M80" si="53">+IF(C15=0," ",C75-C78)</f>
        <v>-2.4675413779696176E-3</v>
      </c>
      <c r="D80" s="250">
        <f t="shared" si="53"/>
        <v>-2.0819427869649257E-2</v>
      </c>
      <c r="E80" s="250">
        <f t="shared" si="53"/>
        <v>-2.6774645134811093E-3</v>
      </c>
      <c r="F80" s="250">
        <f t="shared" si="53"/>
        <v>1.3928223864176442E-2</v>
      </c>
      <c r="G80" s="250">
        <f t="shared" si="53"/>
        <v>-7.7455055744040519E-3</v>
      </c>
      <c r="H80" s="250">
        <f t="shared" si="53"/>
        <v>1.1945229156189938E-2</v>
      </c>
      <c r="I80" s="250">
        <f t="shared" si="53"/>
        <v>-4.4531977658282054E-3</v>
      </c>
      <c r="J80" s="250">
        <f t="shared" si="53"/>
        <v>6.8124917625417142E-3</v>
      </c>
      <c r="K80" s="250">
        <f t="shared" si="53"/>
        <v>3.6610810454238835E-3</v>
      </c>
      <c r="L80" s="250">
        <f t="shared" si="53"/>
        <v>6.2112372915347908E-3</v>
      </c>
      <c r="M80" s="250">
        <f t="shared" si="53"/>
        <v>9.642129908094127E-4</v>
      </c>
      <c r="N80" s="250"/>
    </row>
    <row r="81" spans="2:14">
      <c r="B81" s="250"/>
      <c r="C81" s="250"/>
      <c r="D81" s="250"/>
      <c r="E81" s="251"/>
      <c r="F81" s="250"/>
      <c r="G81" s="250"/>
      <c r="H81" s="250"/>
      <c r="I81" s="250"/>
      <c r="J81" s="250"/>
      <c r="K81" s="250"/>
      <c r="L81" s="250"/>
      <c r="M81" s="250"/>
      <c r="N81" s="250"/>
    </row>
    <row r="82" spans="2:14" hidden="1">
      <c r="B82" s="250"/>
      <c r="C82" s="251"/>
      <c r="D82" s="250"/>
      <c r="E82" s="250"/>
      <c r="F82" s="250"/>
      <c r="G82" s="250"/>
      <c r="H82" s="250"/>
      <c r="I82" s="250"/>
      <c r="J82" s="250"/>
      <c r="K82" s="250"/>
      <c r="L82" s="250"/>
      <c r="M82" s="250"/>
      <c r="N82" s="250"/>
    </row>
    <row r="83" spans="2:14" hidden="1">
      <c r="B83" s="251"/>
      <c r="C83" s="251"/>
      <c r="D83" s="250"/>
      <c r="E83" s="250"/>
      <c r="F83" s="250"/>
      <c r="G83" s="250"/>
      <c r="H83" s="250"/>
      <c r="I83" s="250"/>
      <c r="J83" s="250"/>
      <c r="K83" s="250"/>
      <c r="L83" s="250"/>
      <c r="M83" s="250"/>
      <c r="N83" s="250"/>
    </row>
    <row r="84" spans="2:14">
      <c r="B84" s="250"/>
      <c r="C84" s="250"/>
      <c r="D84" s="250"/>
      <c r="E84" s="250"/>
      <c r="F84" s="250"/>
      <c r="G84" s="250"/>
      <c r="H84" s="250"/>
      <c r="I84" s="250"/>
      <c r="J84" s="250"/>
      <c r="K84" s="250"/>
      <c r="L84" s="250"/>
      <c r="M84" s="250"/>
      <c r="N84" s="250"/>
    </row>
    <row r="85" spans="2:14">
      <c r="C85" s="250"/>
      <c r="D85" s="250"/>
      <c r="E85" s="250"/>
      <c r="F85" s="250"/>
      <c r="G85" s="250"/>
      <c r="H85" s="250"/>
      <c r="I85" s="250"/>
      <c r="J85" s="250"/>
      <c r="K85" s="250"/>
      <c r="L85" s="250"/>
      <c r="M85" s="250"/>
      <c r="N85" s="68"/>
    </row>
  </sheetData>
  <mergeCells count="1">
    <mergeCell ref="B1:N1"/>
  </mergeCells>
  <phoneticPr fontId="3" type="noConversion"/>
  <printOptions horizontalCentered="1"/>
  <pageMargins left="0.25" right="0.25" top="1" bottom="0.25" header="0.25" footer="0.5"/>
  <pageSetup scale="62" orientation="landscape" r:id="rId1"/>
  <headerFooter alignWithMargins="0">
    <oddHeader>&amp;C&amp;"Arial,Bold"&amp;22Occupancy Tax Receipts
Fiscal Year 2013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17D6-9BE8-4253-A1ED-36ACB99E99FB}">
  <dimension ref="A2:D37"/>
  <sheetViews>
    <sheetView workbookViewId="0">
      <selection activeCell="F28" sqref="F28"/>
    </sheetView>
  </sheetViews>
  <sheetFormatPr defaultRowHeight="12.5"/>
  <cols>
    <col min="1" max="1" width="15.6328125" bestFit="1" customWidth="1"/>
    <col min="4" max="4" width="11.453125" style="456" bestFit="1" customWidth="1"/>
  </cols>
  <sheetData>
    <row r="2" spans="1:4">
      <c r="A2" t="s">
        <v>537</v>
      </c>
      <c r="D2" s="456">
        <v>20000</v>
      </c>
    </row>
    <row r="3" spans="1:4">
      <c r="A3" t="s">
        <v>662</v>
      </c>
      <c r="D3" s="456">
        <v>12500</v>
      </c>
    </row>
    <row r="4" spans="1:4">
      <c r="A4" t="s">
        <v>531</v>
      </c>
      <c r="D4" s="456">
        <v>30000</v>
      </c>
    </row>
    <row r="5" spans="1:4">
      <c r="A5" t="s">
        <v>530</v>
      </c>
      <c r="D5" s="456">
        <v>10000</v>
      </c>
    </row>
    <row r="6" spans="1:4">
      <c r="A6" t="s">
        <v>535</v>
      </c>
      <c r="D6" s="456">
        <v>22000</v>
      </c>
    </row>
    <row r="7" spans="1:4">
      <c r="A7" t="s">
        <v>994</v>
      </c>
      <c r="D7" s="456">
        <v>12500</v>
      </c>
    </row>
    <row r="8" spans="1:4">
      <c r="A8" t="s">
        <v>533</v>
      </c>
      <c r="D8" s="456">
        <v>20000</v>
      </c>
    </row>
    <row r="9" spans="1:4">
      <c r="A9" t="s">
        <v>995</v>
      </c>
      <c r="D9" s="456">
        <v>22500</v>
      </c>
    </row>
    <row r="10" spans="1:4">
      <c r="A10" t="s">
        <v>996</v>
      </c>
      <c r="D10" s="456">
        <v>7500</v>
      </c>
    </row>
    <row r="11" spans="1:4">
      <c r="D11" s="456">
        <v>50000</v>
      </c>
    </row>
    <row r="12" spans="1:4">
      <c r="D12" s="456">
        <v>22500</v>
      </c>
    </row>
    <row r="13" spans="1:4">
      <c r="D13" s="456">
        <v>3000</v>
      </c>
    </row>
    <row r="14" spans="1:4">
      <c r="D14" s="456">
        <v>20000</v>
      </c>
    </row>
    <row r="15" spans="1:4">
      <c r="D15" s="456">
        <v>90000</v>
      </c>
    </row>
    <row r="16" spans="1:4">
      <c r="D16" s="456">
        <v>18000</v>
      </c>
    </row>
    <row r="17" spans="4:4">
      <c r="D17" s="456">
        <v>25000</v>
      </c>
    </row>
    <row r="18" spans="4:4">
      <c r="D18" s="456">
        <v>17500</v>
      </c>
    </row>
    <row r="19" spans="4:4">
      <c r="D19" s="456">
        <v>20000</v>
      </c>
    </row>
    <row r="20" spans="4:4">
      <c r="D20" s="456">
        <v>20000</v>
      </c>
    </row>
    <row r="21" spans="4:4">
      <c r="D21" s="456">
        <v>80000</v>
      </c>
    </row>
    <row r="22" spans="4:4">
      <c r="D22" s="456">
        <v>40000</v>
      </c>
    </row>
    <row r="23" spans="4:4">
      <c r="D23" s="456">
        <v>4500</v>
      </c>
    </row>
    <row r="24" spans="4:4">
      <c r="D24" s="456">
        <v>7500</v>
      </c>
    </row>
    <row r="25" spans="4:4">
      <c r="D25" s="456">
        <v>25000</v>
      </c>
    </row>
    <row r="26" spans="4:4">
      <c r="D26" s="456">
        <v>8000</v>
      </c>
    </row>
    <row r="27" spans="4:4">
      <c r="D27" s="456">
        <v>20000</v>
      </c>
    </row>
    <row r="28" spans="4:4">
      <c r="D28" s="456">
        <v>7500</v>
      </c>
    </row>
    <row r="29" spans="4:4">
      <c r="D29" s="456">
        <v>25000</v>
      </c>
    </row>
    <row r="30" spans="4:4">
      <c r="D30" s="456">
        <v>15000</v>
      </c>
    </row>
    <row r="31" spans="4:4">
      <c r="D31" s="456">
        <v>12500</v>
      </c>
    </row>
    <row r="32" spans="4:4">
      <c r="D32" s="456">
        <v>12000</v>
      </c>
    </row>
    <row r="34" spans="4:4">
      <c r="D34" s="456">
        <f>+SUM(D2:D33)</f>
        <v>700000</v>
      </c>
    </row>
    <row r="35" spans="4:4">
      <c r="D35" s="456">
        <f>+D34/8.75*4</f>
        <v>320000</v>
      </c>
    </row>
    <row r="37" spans="4:4">
      <c r="D37" s="456">
        <f>650000/8.75*4</f>
        <v>297142.85714285716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Q72"/>
  <sheetViews>
    <sheetView workbookViewId="0">
      <selection activeCell="B72" sqref="B72"/>
    </sheetView>
  </sheetViews>
  <sheetFormatPr defaultColWidth="9.08984375" defaultRowHeight="10"/>
  <cols>
    <col min="1" max="1" width="7.54296875" style="1" bestFit="1" customWidth="1"/>
    <col min="2" max="2" width="24.453125" style="1" bestFit="1" customWidth="1"/>
    <col min="3" max="3" width="12" style="5" bestFit="1" customWidth="1"/>
    <col min="4" max="4" width="10.6328125" style="5" customWidth="1"/>
    <col min="5" max="6" width="10.6328125" style="5" bestFit="1" customWidth="1"/>
    <col min="7" max="7" width="12.453125" style="5" bestFit="1" customWidth="1"/>
    <col min="8" max="8" width="10.6328125" style="5" bestFit="1" customWidth="1"/>
    <col min="9" max="9" width="12.36328125" style="5" bestFit="1" customWidth="1"/>
    <col min="10" max="10" width="12.90625" style="1" bestFit="1" customWidth="1"/>
    <col min="11" max="13" width="10.6328125" style="1" bestFit="1" customWidth="1"/>
    <col min="14" max="14" width="11.6328125" style="1" customWidth="1"/>
    <col min="15" max="15" width="12" style="1" bestFit="1" customWidth="1"/>
    <col min="16" max="16" width="10.6328125" style="1" hidden="1" customWidth="1"/>
    <col min="17" max="17" width="10.6328125" style="1" bestFit="1" customWidth="1"/>
    <col min="18" max="16384" width="9.08984375" style="1"/>
  </cols>
  <sheetData>
    <row r="1" spans="1:17" s="17" customFormat="1" ht="21">
      <c r="A1" s="14" t="s">
        <v>82</v>
      </c>
      <c r="B1" s="15" t="s">
        <v>0</v>
      </c>
      <c r="C1" s="16" t="s">
        <v>123</v>
      </c>
      <c r="D1" s="16" t="s">
        <v>148</v>
      </c>
      <c r="E1" s="16" t="s">
        <v>149</v>
      </c>
      <c r="F1" s="16" t="s">
        <v>150</v>
      </c>
      <c r="G1" s="16" t="s">
        <v>151</v>
      </c>
      <c r="H1" s="16" t="s">
        <v>152</v>
      </c>
      <c r="I1" s="18" t="s">
        <v>153</v>
      </c>
      <c r="J1" s="18" t="s">
        <v>154</v>
      </c>
      <c r="K1" s="19" t="s">
        <v>144</v>
      </c>
      <c r="L1" s="18" t="s">
        <v>145</v>
      </c>
      <c r="M1" s="18" t="s">
        <v>146</v>
      </c>
      <c r="N1" s="18" t="s">
        <v>147</v>
      </c>
      <c r="O1" s="26" t="s">
        <v>143</v>
      </c>
      <c r="P1" s="26"/>
      <c r="Q1" s="26" t="s">
        <v>142</v>
      </c>
    </row>
    <row r="2" spans="1:17">
      <c r="A2" s="4">
        <v>70000</v>
      </c>
      <c r="B2" s="1" t="s">
        <v>4</v>
      </c>
      <c r="C2" s="5">
        <v>920.89</v>
      </c>
      <c r="D2" s="5">
        <v>1199.73</v>
      </c>
      <c r="E2" s="5">
        <v>1273.58</v>
      </c>
      <c r="F2" s="5">
        <v>1029.8599999999999</v>
      </c>
      <c r="G2" s="5">
        <v>933.53</v>
      </c>
      <c r="H2" s="5">
        <v>862.08</v>
      </c>
      <c r="I2" s="5">
        <v>704.77</v>
      </c>
      <c r="J2" s="5">
        <v>683.04</v>
      </c>
      <c r="K2" s="5">
        <v>698.79</v>
      </c>
      <c r="L2" s="5">
        <v>857.81</v>
      </c>
      <c r="M2" s="5">
        <v>1126.25</v>
      </c>
      <c r="N2" s="5">
        <v>941.11</v>
      </c>
      <c r="O2" s="5">
        <f>SUM(C2:N2)</f>
        <v>11231.439999999999</v>
      </c>
      <c r="P2" s="5">
        <f>COUNT(C2:N2)</f>
        <v>12</v>
      </c>
      <c r="Q2" s="5">
        <f>+O2/P2</f>
        <v>935.95333333333326</v>
      </c>
    </row>
    <row r="3" spans="1:17">
      <c r="A3" s="4">
        <v>70001</v>
      </c>
      <c r="B3" s="1" t="s">
        <v>5</v>
      </c>
      <c r="C3" s="5">
        <v>22009.64</v>
      </c>
      <c r="D3" s="5">
        <v>4990.3599999999997</v>
      </c>
      <c r="F3" s="5">
        <v>18861.36</v>
      </c>
      <c r="J3" s="5"/>
      <c r="K3" s="5">
        <v>13468.14</v>
      </c>
      <c r="L3" s="5">
        <v>19861.14</v>
      </c>
      <c r="M3" s="5">
        <v>14321.41</v>
      </c>
      <c r="N3" s="5">
        <v>13282.5</v>
      </c>
      <c r="O3" s="5">
        <f t="shared" ref="O3:O66" si="0">SUM(C3:N3)</f>
        <v>106794.55</v>
      </c>
      <c r="P3" s="5">
        <f t="shared" ref="P3:P66" si="1">COUNT(C3:N3)</f>
        <v>7</v>
      </c>
      <c r="Q3" s="5">
        <f t="shared" ref="Q3:Q66" si="2">+O3/P3</f>
        <v>15256.364285714286</v>
      </c>
    </row>
    <row r="4" spans="1:17">
      <c r="A4" s="4">
        <v>70002</v>
      </c>
      <c r="B4" s="1" t="s">
        <v>6</v>
      </c>
      <c r="C4" s="5">
        <v>3154</v>
      </c>
      <c r="D4" s="5">
        <v>2636.26</v>
      </c>
      <c r="E4" s="5">
        <v>2767.99</v>
      </c>
      <c r="F4" s="5">
        <v>2775.83</v>
      </c>
      <c r="G4" s="5">
        <v>2224.56</v>
      </c>
      <c r="H4" s="5">
        <v>1603.94</v>
      </c>
      <c r="I4" s="5">
        <v>1224.3800000000001</v>
      </c>
      <c r="J4" s="5">
        <v>1696.85</v>
      </c>
      <c r="K4" s="5">
        <v>1953.92</v>
      </c>
      <c r="L4" s="5">
        <v>2648.88</v>
      </c>
      <c r="M4" s="5">
        <v>2350.4299999999998</v>
      </c>
      <c r="N4" s="5">
        <v>2153.9</v>
      </c>
      <c r="O4" s="5">
        <f t="shared" si="0"/>
        <v>27190.94</v>
      </c>
      <c r="P4" s="5">
        <f t="shared" si="1"/>
        <v>12</v>
      </c>
      <c r="Q4" s="5">
        <f t="shared" si="2"/>
        <v>2265.9116666666664</v>
      </c>
    </row>
    <row r="5" spans="1:17">
      <c r="A5" s="4">
        <v>70003</v>
      </c>
      <c r="B5" s="1" t="s">
        <v>7</v>
      </c>
      <c r="C5" s="5">
        <v>1738.78</v>
      </c>
      <c r="D5" s="5">
        <v>1927.96</v>
      </c>
      <c r="E5" s="5">
        <v>1726.16</v>
      </c>
      <c r="F5" s="5">
        <v>2018.28</v>
      </c>
      <c r="G5" s="5">
        <v>1710.81</v>
      </c>
      <c r="H5" s="5">
        <v>1149.76</v>
      </c>
      <c r="I5" s="5">
        <v>1071.99</v>
      </c>
      <c r="J5" s="5">
        <v>1034.8399999999999</v>
      </c>
      <c r="K5" s="5">
        <v>1281.42</v>
      </c>
      <c r="L5" s="5">
        <v>1709.58</v>
      </c>
      <c r="M5" s="5">
        <v>1502.19</v>
      </c>
      <c r="N5" s="5">
        <v>1465.31</v>
      </c>
      <c r="O5" s="5">
        <f t="shared" si="0"/>
        <v>18337.080000000002</v>
      </c>
      <c r="P5" s="5">
        <f t="shared" si="1"/>
        <v>12</v>
      </c>
      <c r="Q5" s="5">
        <f t="shared" si="2"/>
        <v>1528.0900000000001</v>
      </c>
    </row>
    <row r="6" spans="1:17">
      <c r="A6" s="4">
        <v>70004</v>
      </c>
      <c r="B6" s="1" t="s">
        <v>8</v>
      </c>
      <c r="C6" s="5">
        <v>1227.58</v>
      </c>
      <c r="D6" s="5">
        <v>2383.2199999999998</v>
      </c>
      <c r="E6" s="5">
        <v>1277.7</v>
      </c>
      <c r="F6" s="5">
        <v>2755.51</v>
      </c>
      <c r="G6" s="5">
        <v>2158.98</v>
      </c>
      <c r="H6" s="5">
        <v>2055.35</v>
      </c>
      <c r="I6" s="5">
        <v>1287</v>
      </c>
      <c r="J6" s="5">
        <v>1676.82</v>
      </c>
      <c r="K6" s="5">
        <v>2860.11</v>
      </c>
      <c r="L6" s="5">
        <v>2644.83</v>
      </c>
      <c r="M6" s="5">
        <v>1844.41</v>
      </c>
      <c r="N6" s="5">
        <v>1020.31</v>
      </c>
      <c r="O6" s="5">
        <f t="shared" si="0"/>
        <v>23191.82</v>
      </c>
      <c r="P6" s="5">
        <f t="shared" si="1"/>
        <v>12</v>
      </c>
      <c r="Q6" s="5">
        <f t="shared" si="2"/>
        <v>1932.6516666666666</v>
      </c>
    </row>
    <row r="7" spans="1:17">
      <c r="A7" s="4">
        <v>70006</v>
      </c>
      <c r="B7" s="1" t="s">
        <v>9</v>
      </c>
      <c r="C7" s="5">
        <v>3127.16</v>
      </c>
      <c r="D7" s="5">
        <v>2476.3000000000002</v>
      </c>
      <c r="E7" s="5">
        <v>2233.8000000000002</v>
      </c>
      <c r="F7" s="5">
        <v>2870.96</v>
      </c>
      <c r="G7" s="5">
        <v>2197.85</v>
      </c>
      <c r="H7" s="5">
        <v>1710.38</v>
      </c>
      <c r="I7" s="5">
        <v>1422.43</v>
      </c>
      <c r="J7" s="5">
        <v>1629.49</v>
      </c>
      <c r="K7" s="5">
        <v>2963.44</v>
      </c>
      <c r="L7" s="5">
        <v>3048.96</v>
      </c>
      <c r="M7" s="5">
        <v>2804.14</v>
      </c>
      <c r="N7" s="5">
        <v>2789.57</v>
      </c>
      <c r="O7" s="5">
        <f t="shared" si="0"/>
        <v>29274.48</v>
      </c>
      <c r="P7" s="5">
        <f t="shared" si="1"/>
        <v>12</v>
      </c>
      <c r="Q7" s="5">
        <f t="shared" si="2"/>
        <v>2439.54</v>
      </c>
    </row>
    <row r="8" spans="1:17">
      <c r="A8" s="4">
        <v>70007</v>
      </c>
      <c r="B8" s="1" t="s">
        <v>10</v>
      </c>
      <c r="C8" s="5">
        <v>348</v>
      </c>
      <c r="D8" s="5">
        <v>294</v>
      </c>
      <c r="E8" s="5">
        <v>294</v>
      </c>
      <c r="F8" s="5">
        <v>306</v>
      </c>
      <c r="G8" s="5">
        <v>288</v>
      </c>
      <c r="H8" s="5">
        <v>300</v>
      </c>
      <c r="I8" s="5">
        <v>276</v>
      </c>
      <c r="J8" s="5">
        <v>288</v>
      </c>
      <c r="K8" s="5">
        <v>294</v>
      </c>
      <c r="L8" s="5">
        <v>282</v>
      </c>
      <c r="M8" s="5">
        <v>270</v>
      </c>
      <c r="N8" s="5">
        <v>288</v>
      </c>
      <c r="O8" s="5">
        <f t="shared" si="0"/>
        <v>3528</v>
      </c>
      <c r="P8" s="5">
        <f t="shared" si="1"/>
        <v>12</v>
      </c>
      <c r="Q8" s="5">
        <f t="shared" si="2"/>
        <v>294</v>
      </c>
    </row>
    <row r="9" spans="1:17">
      <c r="A9" s="4">
        <v>70008</v>
      </c>
      <c r="B9" s="1" t="s">
        <v>11</v>
      </c>
      <c r="C9" s="5">
        <v>2754.06</v>
      </c>
      <c r="D9" s="5">
        <v>3091.62</v>
      </c>
      <c r="E9" s="5">
        <v>2297.48</v>
      </c>
      <c r="F9" s="5">
        <v>3256.58</v>
      </c>
      <c r="G9" s="5">
        <v>1839.96</v>
      </c>
      <c r="H9" s="5">
        <v>1697.96</v>
      </c>
      <c r="I9" s="5">
        <v>1655.76</v>
      </c>
      <c r="J9" s="5">
        <v>1427.76</v>
      </c>
      <c r="K9" s="5">
        <v>2760.43</v>
      </c>
      <c r="L9" s="5">
        <v>2653.17</v>
      </c>
      <c r="M9" s="5">
        <v>2409.52</v>
      </c>
      <c r="N9" s="5">
        <v>2335.14</v>
      </c>
      <c r="O9" s="5">
        <f t="shared" si="0"/>
        <v>28179.439999999999</v>
      </c>
      <c r="P9" s="5">
        <f t="shared" si="1"/>
        <v>12</v>
      </c>
      <c r="Q9" s="5">
        <f t="shared" si="2"/>
        <v>2348.2866666666664</v>
      </c>
    </row>
    <row r="10" spans="1:17">
      <c r="A10" s="4" t="s">
        <v>12</v>
      </c>
      <c r="B10" s="1" t="s">
        <v>13</v>
      </c>
      <c r="C10" s="5">
        <v>2866.5</v>
      </c>
      <c r="D10" s="5">
        <v>2365.16</v>
      </c>
      <c r="E10" s="5">
        <v>3858.35</v>
      </c>
      <c r="F10" s="5">
        <v>4052.91</v>
      </c>
      <c r="G10" s="5">
        <v>3321.5</v>
      </c>
      <c r="H10" s="5">
        <v>2360.69</v>
      </c>
      <c r="I10" s="5">
        <v>2417.6999999999998</v>
      </c>
      <c r="J10" s="5">
        <v>1643.23</v>
      </c>
      <c r="K10" s="5">
        <v>3807</v>
      </c>
      <c r="L10" s="5">
        <v>5170.6499999999996</v>
      </c>
      <c r="M10" s="5">
        <v>3948</v>
      </c>
      <c r="N10" s="5">
        <v>3869.23</v>
      </c>
      <c r="O10" s="5">
        <f t="shared" si="0"/>
        <v>39680.92</v>
      </c>
      <c r="P10" s="5">
        <f t="shared" si="1"/>
        <v>12</v>
      </c>
      <c r="Q10" s="5">
        <f t="shared" si="2"/>
        <v>3306.7433333333333</v>
      </c>
    </row>
    <row r="11" spans="1:17">
      <c r="A11" s="4">
        <v>70014</v>
      </c>
      <c r="B11" s="1" t="s">
        <v>14</v>
      </c>
      <c r="C11" s="5">
        <v>12681.45</v>
      </c>
      <c r="D11" s="5">
        <v>12937.76</v>
      </c>
      <c r="E11" s="5">
        <v>11821.41</v>
      </c>
      <c r="G11" s="5">
        <v>10190.950000000001</v>
      </c>
      <c r="H11" s="5">
        <v>7783.41</v>
      </c>
      <c r="I11" s="5">
        <v>7829.79</v>
      </c>
      <c r="J11" s="5">
        <v>8224.8799999999992</v>
      </c>
      <c r="K11" s="5">
        <v>12940.32</v>
      </c>
      <c r="L11" s="5">
        <v>14888.97</v>
      </c>
      <c r="M11" s="5">
        <v>13841.7</v>
      </c>
      <c r="N11" s="5">
        <v>13342.29</v>
      </c>
      <c r="O11" s="5">
        <f t="shared" si="0"/>
        <v>126482.93</v>
      </c>
      <c r="P11" s="5">
        <f t="shared" si="1"/>
        <v>11</v>
      </c>
      <c r="Q11" s="5">
        <f t="shared" si="2"/>
        <v>11498.448181818181</v>
      </c>
    </row>
    <row r="12" spans="1:17">
      <c r="A12" s="4" t="s">
        <v>73</v>
      </c>
      <c r="B12" s="1" t="s">
        <v>63</v>
      </c>
      <c r="C12" s="5">
        <v>8646.76</v>
      </c>
      <c r="D12" s="5">
        <v>10111</v>
      </c>
      <c r="E12" s="5">
        <v>9875</v>
      </c>
      <c r="F12" s="5">
        <v>9990.2199999999993</v>
      </c>
      <c r="G12" s="5">
        <v>7945.02</v>
      </c>
      <c r="H12" s="5">
        <v>6630.48</v>
      </c>
      <c r="I12" s="5">
        <v>5083.87</v>
      </c>
      <c r="J12" s="5">
        <v>6089.31</v>
      </c>
      <c r="K12" s="5">
        <v>8967.94</v>
      </c>
      <c r="L12" s="5">
        <v>8611.85</v>
      </c>
      <c r="M12" s="5">
        <v>10380.59</v>
      </c>
      <c r="N12" s="5">
        <v>7584.98</v>
      </c>
      <c r="O12" s="5">
        <f t="shared" si="0"/>
        <v>99917.01999999999</v>
      </c>
      <c r="P12" s="5">
        <f t="shared" si="1"/>
        <v>12</v>
      </c>
      <c r="Q12" s="5">
        <f t="shared" si="2"/>
        <v>8326.4183333333331</v>
      </c>
    </row>
    <row r="13" spans="1:17">
      <c r="A13" s="4" t="s">
        <v>75</v>
      </c>
      <c r="B13" s="1" t="s">
        <v>74</v>
      </c>
      <c r="C13" s="5">
        <v>10681.5</v>
      </c>
      <c r="D13" s="5">
        <v>15151.44</v>
      </c>
      <c r="E13" s="5">
        <v>11179.86</v>
      </c>
      <c r="F13" s="5">
        <v>12050.94</v>
      </c>
      <c r="G13" s="5">
        <v>8040</v>
      </c>
      <c r="H13" s="5">
        <v>4876.62</v>
      </c>
      <c r="I13" s="5">
        <v>5054.88</v>
      </c>
      <c r="J13" s="5">
        <v>5819.34</v>
      </c>
      <c r="K13" s="5">
        <v>11720.58</v>
      </c>
      <c r="L13" s="5">
        <v>12145.68</v>
      </c>
      <c r="M13" s="5">
        <v>14455.8</v>
      </c>
      <c r="N13" s="5">
        <v>13842.06</v>
      </c>
      <c r="O13" s="5">
        <f t="shared" si="0"/>
        <v>125018.7</v>
      </c>
      <c r="P13" s="5">
        <f t="shared" si="1"/>
        <v>12</v>
      </c>
      <c r="Q13" s="5">
        <f t="shared" si="2"/>
        <v>10418.225</v>
      </c>
    </row>
    <row r="14" spans="1:17">
      <c r="A14" s="4">
        <v>70017</v>
      </c>
      <c r="B14" s="1" t="s">
        <v>15</v>
      </c>
      <c r="C14" s="5">
        <v>26851.3</v>
      </c>
      <c r="D14" s="5">
        <v>26359.58</v>
      </c>
      <c r="E14" s="5">
        <v>26310.82</v>
      </c>
      <c r="F14" s="5">
        <v>28178.93</v>
      </c>
      <c r="G14" s="5">
        <v>24121.279999999999</v>
      </c>
      <c r="H14" s="5">
        <v>21076.9</v>
      </c>
      <c r="I14" s="5">
        <v>20967.419999999998</v>
      </c>
      <c r="J14" s="5">
        <v>21587.37</v>
      </c>
      <c r="K14" s="5">
        <v>25560.45</v>
      </c>
      <c r="L14" s="5">
        <v>30873.48</v>
      </c>
      <c r="M14" s="5">
        <v>28916.79</v>
      </c>
      <c r="N14" s="5">
        <v>26135.27</v>
      </c>
      <c r="O14" s="5">
        <f t="shared" si="0"/>
        <v>306939.59000000003</v>
      </c>
      <c r="P14" s="5">
        <f t="shared" si="1"/>
        <v>12</v>
      </c>
      <c r="Q14" s="5">
        <f t="shared" si="2"/>
        <v>25578.299166666668</v>
      </c>
    </row>
    <row r="15" spans="1:17">
      <c r="A15" s="4">
        <v>70018</v>
      </c>
      <c r="B15" s="1" t="s">
        <v>16</v>
      </c>
      <c r="C15" s="5">
        <v>28256.94</v>
      </c>
      <c r="D15" s="5">
        <v>30407.91</v>
      </c>
      <c r="E15" s="5">
        <v>27908.23</v>
      </c>
      <c r="F15" s="5">
        <v>42735.38</v>
      </c>
      <c r="G15" s="5">
        <v>21972.73</v>
      </c>
      <c r="H15" s="5">
        <v>14963.22</v>
      </c>
      <c r="I15" s="5">
        <v>15652.28</v>
      </c>
      <c r="J15" s="5">
        <v>20698.79</v>
      </c>
      <c r="K15" s="5">
        <v>29094.36</v>
      </c>
      <c r="L15" s="5">
        <v>36328.089999999997</v>
      </c>
      <c r="M15" s="5">
        <v>34332.699999999997</v>
      </c>
      <c r="N15" s="5">
        <v>32794.9</v>
      </c>
      <c r="O15" s="5">
        <f t="shared" si="0"/>
        <v>335145.53000000009</v>
      </c>
      <c r="P15" s="5">
        <f t="shared" si="1"/>
        <v>12</v>
      </c>
      <c r="Q15" s="5">
        <f t="shared" si="2"/>
        <v>27928.794166666674</v>
      </c>
    </row>
    <row r="16" spans="1:17">
      <c r="A16" s="4">
        <v>70019</v>
      </c>
      <c r="B16" s="1" t="s">
        <v>17</v>
      </c>
      <c r="C16" s="5">
        <v>9834.9699999999993</v>
      </c>
      <c r="D16" s="5">
        <v>9012.93</v>
      </c>
      <c r="E16" s="5">
        <v>8376.82</v>
      </c>
      <c r="F16" s="5">
        <v>10104.530000000001</v>
      </c>
      <c r="G16" s="5">
        <v>8209.9699999999993</v>
      </c>
      <c r="H16" s="5">
        <v>6212.39</v>
      </c>
      <c r="I16" s="5">
        <v>5221.62</v>
      </c>
      <c r="J16" s="5">
        <v>5917.9</v>
      </c>
      <c r="K16" s="5">
        <v>10615.01</v>
      </c>
      <c r="L16" s="5">
        <v>10340.549999999999</v>
      </c>
      <c r="M16" s="5">
        <v>9209.4699999999993</v>
      </c>
      <c r="N16" s="5">
        <v>9111.94</v>
      </c>
      <c r="O16" s="5">
        <f t="shared" si="0"/>
        <v>102168.1</v>
      </c>
      <c r="P16" s="5">
        <f t="shared" si="1"/>
        <v>12</v>
      </c>
      <c r="Q16" s="5">
        <f t="shared" si="2"/>
        <v>8514.0083333333332</v>
      </c>
    </row>
    <row r="17" spans="1:17">
      <c r="A17" s="4">
        <v>70020</v>
      </c>
      <c r="B17" s="1" t="s">
        <v>18</v>
      </c>
      <c r="C17" s="5">
        <v>8695.7199999999993</v>
      </c>
      <c r="D17" s="5">
        <v>7469.43</v>
      </c>
      <c r="E17" s="5">
        <v>7774.61</v>
      </c>
      <c r="F17" s="5">
        <v>7680.69</v>
      </c>
      <c r="G17" s="5">
        <v>5930.63</v>
      </c>
      <c r="H17" s="5">
        <v>5328.66</v>
      </c>
      <c r="I17" s="5">
        <v>4045.47</v>
      </c>
      <c r="J17" s="5">
        <v>5153.8900000000003</v>
      </c>
      <c r="K17" s="5">
        <v>7179.88</v>
      </c>
      <c r="L17" s="5">
        <v>7027.8</v>
      </c>
      <c r="M17" s="5">
        <v>6663.79</v>
      </c>
      <c r="N17" s="5">
        <v>8027.46</v>
      </c>
      <c r="O17" s="5">
        <f t="shared" si="0"/>
        <v>80978.029999999984</v>
      </c>
      <c r="P17" s="5">
        <f t="shared" si="1"/>
        <v>12</v>
      </c>
      <c r="Q17" s="5">
        <f t="shared" si="2"/>
        <v>6748.1691666666657</v>
      </c>
    </row>
    <row r="18" spans="1:17">
      <c r="A18" s="4">
        <v>70021</v>
      </c>
      <c r="B18" s="1" t="s">
        <v>60</v>
      </c>
      <c r="C18" s="5">
        <v>39214.5</v>
      </c>
      <c r="D18" s="5">
        <v>22474.799999999999</v>
      </c>
      <c r="E18" s="5">
        <v>29921.34</v>
      </c>
      <c r="F18" s="5">
        <v>36548.46</v>
      </c>
      <c r="G18" s="5">
        <v>29023.38</v>
      </c>
      <c r="H18" s="5">
        <v>22480.5</v>
      </c>
      <c r="I18" s="5">
        <v>25661.4</v>
      </c>
      <c r="J18" s="5">
        <v>26305.56</v>
      </c>
      <c r="K18" s="5">
        <v>43486.559999999998</v>
      </c>
      <c r="L18" s="5">
        <v>45247.65</v>
      </c>
      <c r="M18" s="5">
        <v>43589.64</v>
      </c>
      <c r="N18" s="5">
        <v>33290.589999999997</v>
      </c>
      <c r="O18" s="5">
        <f t="shared" si="0"/>
        <v>397244.38</v>
      </c>
      <c r="P18" s="5">
        <f t="shared" si="1"/>
        <v>12</v>
      </c>
      <c r="Q18" s="5">
        <f t="shared" si="2"/>
        <v>33103.698333333334</v>
      </c>
    </row>
    <row r="19" spans="1:17">
      <c r="A19" s="4">
        <v>70022</v>
      </c>
      <c r="B19" s="1" t="s">
        <v>19</v>
      </c>
      <c r="C19" s="5">
        <v>951.39</v>
      </c>
      <c r="D19" s="5">
        <v>1074.0899999999999</v>
      </c>
      <c r="E19" s="5">
        <v>1148.32</v>
      </c>
      <c r="F19" s="5">
        <v>1336.86</v>
      </c>
      <c r="G19" s="5">
        <v>940.44</v>
      </c>
      <c r="H19" s="5">
        <v>813.1</v>
      </c>
      <c r="I19" s="5">
        <v>918.25</v>
      </c>
      <c r="J19" s="5">
        <v>703.77</v>
      </c>
      <c r="K19" s="5">
        <v>940.66</v>
      </c>
      <c r="L19" s="5">
        <v>1548.42</v>
      </c>
      <c r="M19" s="5">
        <v>748.55</v>
      </c>
      <c r="N19" s="5">
        <v>976.87</v>
      </c>
      <c r="O19" s="5">
        <f t="shared" si="0"/>
        <v>12100.720000000001</v>
      </c>
      <c r="P19" s="5">
        <f t="shared" si="1"/>
        <v>12</v>
      </c>
      <c r="Q19" s="5">
        <f t="shared" si="2"/>
        <v>1008.3933333333334</v>
      </c>
    </row>
    <row r="20" spans="1:17">
      <c r="A20" s="4">
        <v>70023</v>
      </c>
      <c r="B20" s="1" t="s">
        <v>20</v>
      </c>
      <c r="C20" s="5">
        <v>3198.36</v>
      </c>
      <c r="D20" s="5">
        <v>3152.28</v>
      </c>
      <c r="E20" s="5">
        <v>3829.44</v>
      </c>
      <c r="F20" s="5">
        <v>3202.65</v>
      </c>
      <c r="G20" s="5">
        <v>2296.83</v>
      </c>
      <c r="H20" s="5">
        <v>2172.2399999999998</v>
      </c>
      <c r="I20" s="5">
        <v>2634.3</v>
      </c>
      <c r="J20" s="5">
        <v>2375.81</v>
      </c>
      <c r="K20" s="5">
        <v>2542.92</v>
      </c>
      <c r="L20" s="5">
        <v>2103.2399999999998</v>
      </c>
      <c r="M20" s="5">
        <v>1558.56</v>
      </c>
      <c r="N20" s="5">
        <v>1278.54</v>
      </c>
      <c r="O20" s="5">
        <f t="shared" si="0"/>
        <v>30345.170000000002</v>
      </c>
      <c r="P20" s="5">
        <f t="shared" si="1"/>
        <v>12</v>
      </c>
      <c r="Q20" s="5">
        <f t="shared" si="2"/>
        <v>2528.7641666666668</v>
      </c>
    </row>
    <row r="21" spans="1:17">
      <c r="A21" s="4" t="s">
        <v>66</v>
      </c>
      <c r="B21" s="1" t="s">
        <v>21</v>
      </c>
      <c r="C21" s="5">
        <v>5476</v>
      </c>
      <c r="D21" s="5">
        <v>5377</v>
      </c>
      <c r="E21" s="5">
        <v>4980</v>
      </c>
      <c r="F21" s="5">
        <v>4344</v>
      </c>
      <c r="G21" s="5">
        <v>3255</v>
      </c>
      <c r="H21" s="5">
        <v>2091</v>
      </c>
      <c r="I21" s="5">
        <v>2342</v>
      </c>
      <c r="J21" s="5">
        <v>2263</v>
      </c>
      <c r="K21" s="5">
        <v>3805</v>
      </c>
      <c r="L21" s="5">
        <v>4633</v>
      </c>
      <c r="M21" s="5">
        <v>5926</v>
      </c>
      <c r="N21" s="5">
        <v>5581</v>
      </c>
      <c r="O21" s="5">
        <f t="shared" si="0"/>
        <v>50073</v>
      </c>
      <c r="P21" s="5">
        <f t="shared" si="1"/>
        <v>12</v>
      </c>
      <c r="Q21" s="5">
        <f t="shared" si="2"/>
        <v>4172.75</v>
      </c>
    </row>
    <row r="22" spans="1:17">
      <c r="A22" s="4">
        <v>70026</v>
      </c>
      <c r="B22" s="1" t="s">
        <v>22</v>
      </c>
      <c r="C22" s="5">
        <v>10476.84</v>
      </c>
      <c r="D22" s="5">
        <v>10909.37</v>
      </c>
      <c r="E22" s="5">
        <v>9371.3700000000008</v>
      </c>
      <c r="F22" s="5">
        <v>8459.09</v>
      </c>
      <c r="G22" s="5">
        <v>6925.58</v>
      </c>
      <c r="H22" s="5">
        <v>3032.21</v>
      </c>
      <c r="I22" s="5">
        <v>4031.4</v>
      </c>
      <c r="J22" s="5">
        <v>3867.03</v>
      </c>
      <c r="K22" s="5">
        <v>6677</v>
      </c>
      <c r="L22" s="5">
        <v>8919.42</v>
      </c>
      <c r="M22" s="5">
        <v>10492.05</v>
      </c>
      <c r="N22" s="5">
        <v>11543.76</v>
      </c>
      <c r="O22" s="5">
        <f t="shared" si="0"/>
        <v>94705.12</v>
      </c>
      <c r="P22" s="5">
        <f t="shared" si="1"/>
        <v>12</v>
      </c>
      <c r="Q22" s="5">
        <f t="shared" si="2"/>
        <v>7892.0933333333332</v>
      </c>
    </row>
    <row r="23" spans="1:17">
      <c r="A23" s="4">
        <v>70027</v>
      </c>
      <c r="B23" s="1" t="s">
        <v>23</v>
      </c>
      <c r="C23" s="5">
        <v>781.27</v>
      </c>
      <c r="D23" s="5">
        <v>875.37</v>
      </c>
      <c r="E23" s="5">
        <v>743.48</v>
      </c>
      <c r="F23" s="5">
        <v>790.82</v>
      </c>
      <c r="G23" s="5">
        <v>790.8</v>
      </c>
      <c r="H23" s="5">
        <v>670.24</v>
      </c>
      <c r="I23" s="5">
        <v>664.48</v>
      </c>
      <c r="J23" s="5">
        <v>630.74</v>
      </c>
      <c r="K23" s="5">
        <v>737.52</v>
      </c>
      <c r="L23" s="5">
        <v>675.49</v>
      </c>
      <c r="M23" s="5">
        <v>835.42</v>
      </c>
      <c r="N23" s="5"/>
      <c r="O23" s="5">
        <f t="shared" si="0"/>
        <v>8195.6299999999992</v>
      </c>
      <c r="P23" s="5">
        <f t="shared" si="1"/>
        <v>11</v>
      </c>
      <c r="Q23" s="5">
        <f t="shared" si="2"/>
        <v>745.05727272727268</v>
      </c>
    </row>
    <row r="24" spans="1:17">
      <c r="A24" s="4" t="s">
        <v>78</v>
      </c>
      <c r="B24" s="1" t="s">
        <v>77</v>
      </c>
      <c r="C24" s="5">
        <v>2046.94</v>
      </c>
      <c r="D24" s="5">
        <v>1822.18</v>
      </c>
      <c r="E24" s="5">
        <v>1645.41</v>
      </c>
      <c r="F24" s="5">
        <v>1562.98</v>
      </c>
      <c r="G24" s="5">
        <v>1483.64</v>
      </c>
      <c r="H24" s="5">
        <v>1463.06</v>
      </c>
      <c r="I24" s="5">
        <v>1500.64</v>
      </c>
      <c r="J24" s="5">
        <v>1745.51</v>
      </c>
      <c r="K24" s="5">
        <v>3050.37</v>
      </c>
      <c r="L24" s="5">
        <v>2952.45</v>
      </c>
      <c r="M24" s="5">
        <v>2628.72</v>
      </c>
      <c r="N24" s="5">
        <v>2112.56</v>
      </c>
      <c r="O24" s="5">
        <f t="shared" si="0"/>
        <v>24014.460000000003</v>
      </c>
      <c r="P24" s="5">
        <f t="shared" si="1"/>
        <v>12</v>
      </c>
      <c r="Q24" s="5">
        <f t="shared" si="2"/>
        <v>2001.2050000000002</v>
      </c>
    </row>
    <row r="25" spans="1:17">
      <c r="A25" s="4" t="s">
        <v>68</v>
      </c>
      <c r="B25" s="1" t="s">
        <v>24</v>
      </c>
      <c r="C25" s="5">
        <v>3275.29</v>
      </c>
      <c r="D25" s="5">
        <v>2742.55</v>
      </c>
      <c r="E25" s="5">
        <v>2135.7800000000002</v>
      </c>
      <c r="F25" s="5">
        <v>3061.38</v>
      </c>
      <c r="G25" s="5">
        <v>2295.1</v>
      </c>
      <c r="H25" s="5">
        <v>1601.8</v>
      </c>
      <c r="I25" s="5">
        <v>1526.71</v>
      </c>
      <c r="J25" s="5">
        <v>1548.61</v>
      </c>
      <c r="K25" s="5">
        <v>65.040000000000006</v>
      </c>
      <c r="L25" s="5">
        <v>3123</v>
      </c>
      <c r="M25" s="5">
        <v>2757</v>
      </c>
      <c r="N25" s="5"/>
      <c r="O25" s="5">
        <f t="shared" si="0"/>
        <v>24132.260000000002</v>
      </c>
      <c r="P25" s="5">
        <f t="shared" si="1"/>
        <v>11</v>
      </c>
      <c r="Q25" s="5">
        <f t="shared" si="2"/>
        <v>2193.8418181818183</v>
      </c>
    </row>
    <row r="26" spans="1:17">
      <c r="A26" s="4">
        <v>70030</v>
      </c>
      <c r="B26" s="1" t="s">
        <v>81</v>
      </c>
      <c r="C26" s="5">
        <v>65371.35</v>
      </c>
      <c r="D26" s="5">
        <v>54544.41</v>
      </c>
      <c r="E26" s="5">
        <v>43179.22</v>
      </c>
      <c r="F26" s="5">
        <v>58494.66</v>
      </c>
      <c r="G26" s="5">
        <v>60321.52</v>
      </c>
      <c r="H26" s="5">
        <v>61649.17</v>
      </c>
      <c r="I26" s="5">
        <v>26479.52</v>
      </c>
      <c r="J26" s="5">
        <v>31307.86</v>
      </c>
      <c r="K26" s="5">
        <v>41538.480000000003</v>
      </c>
      <c r="L26" s="5">
        <v>55402.7</v>
      </c>
      <c r="M26" s="5">
        <v>66855.92</v>
      </c>
      <c r="N26" s="5"/>
      <c r="O26" s="5">
        <f t="shared" si="0"/>
        <v>565144.81000000006</v>
      </c>
      <c r="P26" s="5">
        <f t="shared" si="1"/>
        <v>11</v>
      </c>
      <c r="Q26" s="5">
        <f t="shared" si="2"/>
        <v>51376.800909090911</v>
      </c>
    </row>
    <row r="27" spans="1:17">
      <c r="A27" s="4" t="s">
        <v>26</v>
      </c>
      <c r="B27" s="1" t="s">
        <v>25</v>
      </c>
      <c r="C27" s="5">
        <v>1931.12</v>
      </c>
      <c r="D27" s="5">
        <v>1953.58</v>
      </c>
      <c r="F27" s="5">
        <v>1861.79</v>
      </c>
      <c r="G27" s="5">
        <v>1575.38</v>
      </c>
      <c r="H27" s="5">
        <v>1281.5999999999999</v>
      </c>
      <c r="I27" s="5">
        <v>1233.47</v>
      </c>
      <c r="J27" s="5">
        <v>1101.02</v>
      </c>
      <c r="K27" s="5">
        <v>1844.9</v>
      </c>
      <c r="L27" s="5">
        <v>1587.95</v>
      </c>
      <c r="M27" s="5">
        <v>1708.36</v>
      </c>
      <c r="N27" s="5"/>
      <c r="O27" s="5">
        <f t="shared" si="0"/>
        <v>16079.17</v>
      </c>
      <c r="P27" s="5">
        <f t="shared" si="1"/>
        <v>10</v>
      </c>
      <c r="Q27" s="5">
        <f t="shared" si="2"/>
        <v>1607.9169999999999</v>
      </c>
    </row>
    <row r="28" spans="1:17">
      <c r="A28" s="4">
        <v>70032</v>
      </c>
      <c r="B28" s="1" t="s">
        <v>11</v>
      </c>
      <c r="C28" s="5">
        <v>4717.91</v>
      </c>
      <c r="D28" s="5">
        <v>3701.53</v>
      </c>
      <c r="E28" s="5">
        <v>4101.6099999999997</v>
      </c>
      <c r="F28" s="5">
        <v>4372.71</v>
      </c>
      <c r="G28" s="5">
        <v>3127.33</v>
      </c>
      <c r="H28" s="5">
        <v>2158.42</v>
      </c>
      <c r="I28" s="5">
        <v>1614.82</v>
      </c>
      <c r="J28" s="5">
        <v>2057.54</v>
      </c>
      <c r="K28" s="5">
        <v>3420.96</v>
      </c>
      <c r="L28" s="5">
        <v>4512.7700000000004</v>
      </c>
      <c r="M28" s="5">
        <v>3599.93</v>
      </c>
      <c r="N28" s="5">
        <v>3799.56</v>
      </c>
      <c r="O28" s="5">
        <f t="shared" si="0"/>
        <v>41185.089999999989</v>
      </c>
      <c r="P28" s="5">
        <f t="shared" si="1"/>
        <v>12</v>
      </c>
      <c r="Q28" s="5">
        <f t="shared" si="2"/>
        <v>3432.0908333333323</v>
      </c>
    </row>
    <row r="29" spans="1:17">
      <c r="A29" s="4">
        <v>70034</v>
      </c>
      <c r="B29" s="1" t="s">
        <v>27</v>
      </c>
      <c r="C29" s="5">
        <v>6636.28</v>
      </c>
      <c r="D29" s="5">
        <v>5589.09</v>
      </c>
      <c r="E29" s="5">
        <v>7008.4</v>
      </c>
      <c r="F29" s="5">
        <v>5573.48</v>
      </c>
      <c r="G29" s="5">
        <v>4227.01</v>
      </c>
      <c r="H29" s="5">
        <v>1697.3</v>
      </c>
      <c r="I29" s="5">
        <v>2136.6</v>
      </c>
      <c r="J29" s="5">
        <v>1936.43</v>
      </c>
      <c r="K29" s="5">
        <v>4495.3599999999997</v>
      </c>
      <c r="L29" s="5">
        <v>5695.67</v>
      </c>
      <c r="M29" s="5">
        <v>5277.17</v>
      </c>
      <c r="N29" s="5">
        <v>6357.76</v>
      </c>
      <c r="O29" s="5">
        <f t="shared" si="0"/>
        <v>56630.549999999996</v>
      </c>
      <c r="P29" s="5">
        <f t="shared" si="1"/>
        <v>12</v>
      </c>
      <c r="Q29" s="5">
        <f t="shared" si="2"/>
        <v>4719.2124999999996</v>
      </c>
    </row>
    <row r="30" spans="1:17">
      <c r="A30" s="4">
        <v>70035</v>
      </c>
      <c r="B30" s="1" t="s">
        <v>28</v>
      </c>
      <c r="C30" s="5">
        <v>33601.839999999997</v>
      </c>
      <c r="D30" s="5">
        <v>25855.61</v>
      </c>
      <c r="E30" s="5">
        <v>31346.46</v>
      </c>
      <c r="F30" s="5">
        <v>34234</v>
      </c>
      <c r="G30" s="5">
        <v>24394.69</v>
      </c>
      <c r="H30" s="5">
        <v>17767.599999999999</v>
      </c>
      <c r="I30" s="5">
        <v>20917.68</v>
      </c>
      <c r="J30" s="5">
        <v>20917.68</v>
      </c>
      <c r="K30" s="5">
        <v>35824.53</v>
      </c>
      <c r="L30" s="5">
        <v>41644.410000000003</v>
      </c>
      <c r="M30" s="5">
        <v>37729.519999999997</v>
      </c>
      <c r="N30" s="5">
        <v>33050.959999999999</v>
      </c>
      <c r="O30" s="5">
        <f t="shared" si="0"/>
        <v>357284.98000000004</v>
      </c>
      <c r="P30" s="5">
        <f t="shared" si="1"/>
        <v>12</v>
      </c>
      <c r="Q30" s="5">
        <f t="shared" si="2"/>
        <v>29773.748333333337</v>
      </c>
    </row>
    <row r="31" spans="1:17">
      <c r="A31" s="4">
        <v>70037</v>
      </c>
      <c r="B31" s="1" t="s">
        <v>29</v>
      </c>
      <c r="C31" s="5">
        <v>6622.28</v>
      </c>
      <c r="D31" s="5">
        <v>6045.93</v>
      </c>
      <c r="E31" s="5">
        <v>6147.24</v>
      </c>
      <c r="F31" s="5">
        <v>6631.61</v>
      </c>
      <c r="G31" s="5">
        <v>4776.12</v>
      </c>
      <c r="H31" s="5">
        <v>3326.64</v>
      </c>
      <c r="I31" s="5">
        <v>3421.97</v>
      </c>
      <c r="J31" s="5">
        <v>3738.99</v>
      </c>
      <c r="K31" s="5">
        <v>6429.08</v>
      </c>
      <c r="L31" s="5">
        <v>6977.64</v>
      </c>
      <c r="M31" s="5">
        <v>6932.07</v>
      </c>
      <c r="N31" s="5">
        <v>6440.99</v>
      </c>
      <c r="O31" s="5">
        <f t="shared" si="0"/>
        <v>67490.559999999998</v>
      </c>
      <c r="P31" s="5">
        <f t="shared" si="1"/>
        <v>12</v>
      </c>
      <c r="Q31" s="5">
        <f t="shared" si="2"/>
        <v>5624.2133333333331</v>
      </c>
    </row>
    <row r="32" spans="1:17">
      <c r="A32" s="4">
        <v>70038</v>
      </c>
      <c r="B32" s="1" t="s">
        <v>30</v>
      </c>
      <c r="C32" s="5">
        <v>9086.4</v>
      </c>
      <c r="D32" s="5">
        <v>8744.3700000000008</v>
      </c>
      <c r="E32" s="5">
        <v>9173.2999999999993</v>
      </c>
      <c r="F32" s="5">
        <v>9578.8700000000008</v>
      </c>
      <c r="G32" s="5">
        <v>8426.67</v>
      </c>
      <c r="H32" s="5">
        <v>7294.65</v>
      </c>
      <c r="I32" s="5">
        <v>7852.98</v>
      </c>
      <c r="J32" s="5">
        <v>7741.06</v>
      </c>
      <c r="K32" s="5">
        <v>8878.7900000000009</v>
      </c>
      <c r="L32" s="5">
        <v>9937.98</v>
      </c>
      <c r="M32" s="5">
        <v>9592.76</v>
      </c>
      <c r="N32" s="5">
        <v>8640.4599999999991</v>
      </c>
      <c r="O32" s="5">
        <f t="shared" si="0"/>
        <v>104948.28999999998</v>
      </c>
      <c r="P32" s="5">
        <f t="shared" si="1"/>
        <v>12</v>
      </c>
      <c r="Q32" s="5">
        <f t="shared" si="2"/>
        <v>8745.6908333333322</v>
      </c>
    </row>
    <row r="33" spans="1:17">
      <c r="A33" s="4" t="s">
        <v>71</v>
      </c>
      <c r="B33" s="1" t="s">
        <v>31</v>
      </c>
      <c r="C33" s="5">
        <v>8082</v>
      </c>
      <c r="D33" s="5">
        <v>7623</v>
      </c>
      <c r="E33" s="5">
        <v>6157</v>
      </c>
      <c r="F33" s="5">
        <v>7658</v>
      </c>
      <c r="G33" s="5">
        <v>5068</v>
      </c>
      <c r="H33" s="5">
        <v>3337</v>
      </c>
      <c r="I33" s="5">
        <v>3482</v>
      </c>
      <c r="J33" s="5">
        <v>3995</v>
      </c>
      <c r="K33" s="5">
        <v>7265</v>
      </c>
      <c r="L33" s="5">
        <v>8025</v>
      </c>
      <c r="M33" s="5">
        <v>7615</v>
      </c>
      <c r="N33" s="5">
        <v>8176</v>
      </c>
      <c r="O33" s="5">
        <f t="shared" si="0"/>
        <v>76483</v>
      </c>
      <c r="P33" s="5">
        <f t="shared" si="1"/>
        <v>12</v>
      </c>
      <c r="Q33" s="5">
        <f t="shared" si="2"/>
        <v>6373.583333333333</v>
      </c>
    </row>
    <row r="34" spans="1:17">
      <c r="A34" s="4" t="s">
        <v>86</v>
      </c>
      <c r="B34" s="1" t="s">
        <v>32</v>
      </c>
      <c r="C34" s="5">
        <v>13324.67</v>
      </c>
      <c r="D34" s="5">
        <v>9898.65</v>
      </c>
      <c r="E34" s="5">
        <v>10046.120000000001</v>
      </c>
      <c r="F34" s="5">
        <v>10589.52</v>
      </c>
      <c r="G34" s="5">
        <v>9222.2999999999993</v>
      </c>
      <c r="H34" s="5">
        <v>8145.29</v>
      </c>
      <c r="I34" s="5">
        <v>8422.18</v>
      </c>
      <c r="J34" s="5">
        <v>6333.24</v>
      </c>
      <c r="K34" s="5">
        <v>7543.31</v>
      </c>
      <c r="L34" s="5">
        <v>10546.38</v>
      </c>
      <c r="M34" s="5">
        <v>11143.77</v>
      </c>
      <c r="N34" s="5">
        <v>10303.370000000001</v>
      </c>
      <c r="O34" s="5">
        <f t="shared" si="0"/>
        <v>115518.80000000002</v>
      </c>
      <c r="P34" s="5">
        <f t="shared" si="1"/>
        <v>12</v>
      </c>
      <c r="Q34" s="5">
        <f t="shared" si="2"/>
        <v>9626.5666666666675</v>
      </c>
    </row>
    <row r="35" spans="1:17">
      <c r="A35" s="4">
        <v>70043</v>
      </c>
      <c r="B35" s="1" t="s">
        <v>33</v>
      </c>
      <c r="C35" s="5">
        <v>1752.56</v>
      </c>
      <c r="D35" s="5">
        <v>2206.0700000000002</v>
      </c>
      <c r="E35" s="5">
        <v>1899.87</v>
      </c>
      <c r="F35" s="5">
        <v>1962.71</v>
      </c>
      <c r="G35" s="5">
        <v>1892.12</v>
      </c>
      <c r="H35" s="5">
        <v>1281.75</v>
      </c>
      <c r="I35" s="5">
        <v>1429.59</v>
      </c>
      <c r="J35" s="5">
        <v>1549.6</v>
      </c>
      <c r="K35" s="5">
        <v>2044.68</v>
      </c>
      <c r="L35" s="5">
        <v>1990.81</v>
      </c>
      <c r="M35" s="5">
        <v>1872.69</v>
      </c>
      <c r="N35" s="5">
        <v>1649.94</v>
      </c>
      <c r="O35" s="5">
        <f t="shared" si="0"/>
        <v>21532.39</v>
      </c>
      <c r="P35" s="5">
        <f t="shared" si="1"/>
        <v>12</v>
      </c>
      <c r="Q35" s="5">
        <f t="shared" si="2"/>
        <v>1794.3658333333333</v>
      </c>
    </row>
    <row r="36" spans="1:17">
      <c r="A36" s="4">
        <v>70044</v>
      </c>
      <c r="B36" s="1" t="s">
        <v>34</v>
      </c>
      <c r="C36" s="5">
        <v>9120.26</v>
      </c>
      <c r="D36" s="5">
        <v>8793.01</v>
      </c>
      <c r="E36" s="5">
        <v>7054.53</v>
      </c>
      <c r="F36" s="5">
        <v>9371.2800000000007</v>
      </c>
      <c r="G36" s="5">
        <v>6444.11</v>
      </c>
      <c r="H36" s="5">
        <v>4538.58</v>
      </c>
      <c r="I36" s="5">
        <v>4507.8500000000004</v>
      </c>
      <c r="J36" s="5">
        <v>5276.28</v>
      </c>
      <c r="K36" s="5">
        <v>8423.02</v>
      </c>
      <c r="L36" s="5">
        <v>9657.59</v>
      </c>
      <c r="M36" s="5">
        <v>7991.86</v>
      </c>
      <c r="N36" s="5">
        <v>8615.84</v>
      </c>
      <c r="O36" s="5">
        <f t="shared" si="0"/>
        <v>89794.209999999992</v>
      </c>
      <c r="P36" s="5">
        <f t="shared" si="1"/>
        <v>12</v>
      </c>
      <c r="Q36" s="5">
        <f t="shared" si="2"/>
        <v>7482.850833333333</v>
      </c>
    </row>
    <row r="37" spans="1:17">
      <c r="A37" s="4">
        <v>70046</v>
      </c>
      <c r="B37" s="1" t="s">
        <v>35</v>
      </c>
      <c r="C37" s="5">
        <v>1319.76</v>
      </c>
      <c r="D37" s="5">
        <v>1454.52</v>
      </c>
      <c r="E37" s="5">
        <v>1411.38</v>
      </c>
      <c r="F37" s="5">
        <v>1298.6400000000001</v>
      </c>
      <c r="G37" s="5">
        <v>1206.6600000000001</v>
      </c>
      <c r="H37" s="5">
        <v>1062.5999999999999</v>
      </c>
      <c r="I37" s="5">
        <v>1000.86</v>
      </c>
      <c r="J37" s="5">
        <v>1077.24</v>
      </c>
      <c r="K37" s="5">
        <v>1181.04</v>
      </c>
      <c r="L37" s="5">
        <v>1179.1199999999999</v>
      </c>
      <c r="M37" s="5">
        <v>1334.61</v>
      </c>
      <c r="N37" s="5">
        <v>1269.42</v>
      </c>
      <c r="O37" s="5">
        <f t="shared" si="0"/>
        <v>14795.85</v>
      </c>
      <c r="P37" s="5">
        <f t="shared" si="1"/>
        <v>12</v>
      </c>
      <c r="Q37" s="5">
        <f t="shared" si="2"/>
        <v>1232.9875</v>
      </c>
    </row>
    <row r="38" spans="1:17">
      <c r="A38" s="4">
        <v>70048</v>
      </c>
      <c r="B38" s="1" t="s">
        <v>36</v>
      </c>
      <c r="C38" s="5">
        <v>3320.94</v>
      </c>
      <c r="D38" s="5">
        <v>3575.22</v>
      </c>
      <c r="E38" s="5">
        <v>4315.74</v>
      </c>
      <c r="F38" s="5">
        <v>4063.08</v>
      </c>
      <c r="G38" s="5">
        <v>3236.68</v>
      </c>
      <c r="H38" s="5">
        <v>3044.75</v>
      </c>
      <c r="I38" s="5">
        <v>2840.64</v>
      </c>
      <c r="J38" s="5">
        <v>2502.83</v>
      </c>
      <c r="K38" s="5">
        <v>2818.41</v>
      </c>
      <c r="L38" s="5">
        <v>2946.48</v>
      </c>
      <c r="M38" s="5">
        <v>3180.98</v>
      </c>
      <c r="N38" s="5">
        <v>2998.94</v>
      </c>
      <c r="O38" s="5">
        <f t="shared" si="0"/>
        <v>38844.69</v>
      </c>
      <c r="P38" s="5">
        <f t="shared" si="1"/>
        <v>12</v>
      </c>
      <c r="Q38" s="5">
        <f t="shared" si="2"/>
        <v>3237.0575000000003</v>
      </c>
    </row>
    <row r="39" spans="1:17">
      <c r="A39" s="4">
        <v>70049</v>
      </c>
      <c r="B39" s="1" t="s">
        <v>37</v>
      </c>
      <c r="C39" s="5">
        <v>357.75</v>
      </c>
      <c r="D39" s="5">
        <v>252.7</v>
      </c>
      <c r="E39" s="5">
        <v>145.94</v>
      </c>
      <c r="F39" s="5">
        <v>175.47</v>
      </c>
      <c r="G39" s="5">
        <v>150.47999999999999</v>
      </c>
      <c r="H39" s="5">
        <v>97.1</v>
      </c>
      <c r="I39" s="5">
        <v>115.84</v>
      </c>
      <c r="J39" s="5">
        <v>110.73</v>
      </c>
      <c r="K39" s="5">
        <v>147.08000000000001</v>
      </c>
      <c r="L39" s="5">
        <v>251.86</v>
      </c>
      <c r="M39" s="5">
        <v>155.59</v>
      </c>
      <c r="N39" s="5">
        <v>122.09</v>
      </c>
      <c r="O39" s="5">
        <f t="shared" si="0"/>
        <v>2082.6299999999997</v>
      </c>
      <c r="P39" s="5">
        <f t="shared" si="1"/>
        <v>12</v>
      </c>
      <c r="Q39" s="5">
        <f t="shared" si="2"/>
        <v>173.55249999999998</v>
      </c>
    </row>
    <row r="40" spans="1:17">
      <c r="A40" s="4" t="s">
        <v>79</v>
      </c>
      <c r="B40" s="1" t="s">
        <v>80</v>
      </c>
      <c r="C40" s="5">
        <v>3255</v>
      </c>
      <c r="D40" s="5">
        <v>2606</v>
      </c>
      <c r="E40" s="5">
        <v>3055</v>
      </c>
      <c r="F40" s="5">
        <v>4381</v>
      </c>
      <c r="G40" s="5">
        <v>2545</v>
      </c>
      <c r="H40" s="5">
        <v>1220</v>
      </c>
      <c r="I40" s="5">
        <v>1427</v>
      </c>
      <c r="J40" s="5">
        <v>2151</v>
      </c>
      <c r="K40" s="5">
        <v>6076</v>
      </c>
      <c r="L40" s="5">
        <v>7715</v>
      </c>
      <c r="M40" s="5">
        <v>5074</v>
      </c>
      <c r="N40" s="5">
        <v>5066</v>
      </c>
      <c r="O40" s="5">
        <f t="shared" si="0"/>
        <v>44571</v>
      </c>
      <c r="P40" s="5">
        <f t="shared" si="1"/>
        <v>12</v>
      </c>
      <c r="Q40" s="5">
        <f t="shared" si="2"/>
        <v>3714.25</v>
      </c>
    </row>
    <row r="41" spans="1:17">
      <c r="A41" s="4" t="s">
        <v>2</v>
      </c>
      <c r="B41" s="1" t="s">
        <v>70</v>
      </c>
      <c r="C41" s="5">
        <v>5051.8100000000004</v>
      </c>
      <c r="D41" s="5">
        <v>6094.39</v>
      </c>
      <c r="E41" s="5">
        <v>5529.76</v>
      </c>
      <c r="F41" s="5">
        <v>5992.82</v>
      </c>
      <c r="G41" s="5">
        <v>5243.07</v>
      </c>
      <c r="H41" s="5">
        <v>3983.95</v>
      </c>
      <c r="I41" s="5">
        <v>3584.82</v>
      </c>
      <c r="J41" s="5">
        <v>3766.29</v>
      </c>
      <c r="K41" s="5">
        <v>5518.09</v>
      </c>
      <c r="L41" s="5">
        <v>6035.32</v>
      </c>
      <c r="M41" s="5">
        <v>5983.38</v>
      </c>
      <c r="N41" s="5">
        <v>5327.36</v>
      </c>
      <c r="O41" s="5">
        <f t="shared" si="0"/>
        <v>62111.06</v>
      </c>
      <c r="P41" s="5">
        <f t="shared" si="1"/>
        <v>12</v>
      </c>
      <c r="Q41" s="5">
        <f t="shared" si="2"/>
        <v>5175.9216666666662</v>
      </c>
    </row>
    <row r="42" spans="1:17">
      <c r="A42" s="4">
        <v>70052</v>
      </c>
      <c r="B42" s="1" t="s">
        <v>38</v>
      </c>
      <c r="C42" s="5">
        <v>4335.01</v>
      </c>
      <c r="D42" s="5">
        <v>4503.97</v>
      </c>
      <c r="E42" s="5">
        <v>3149.28</v>
      </c>
      <c r="F42" s="5">
        <v>3427.55</v>
      </c>
      <c r="G42" s="5">
        <v>1914.35</v>
      </c>
      <c r="H42" s="5">
        <v>1737.55</v>
      </c>
      <c r="I42" s="5">
        <v>3286.21</v>
      </c>
      <c r="J42" s="5">
        <v>3896.27</v>
      </c>
      <c r="K42" s="5">
        <v>4608.25</v>
      </c>
      <c r="L42" s="5">
        <v>4694.59</v>
      </c>
      <c r="M42" s="5">
        <v>4276.16</v>
      </c>
      <c r="N42" s="5">
        <v>3922.8</v>
      </c>
      <c r="O42" s="5">
        <f t="shared" si="0"/>
        <v>43751.990000000005</v>
      </c>
      <c r="P42" s="5">
        <f t="shared" si="1"/>
        <v>12</v>
      </c>
      <c r="Q42" s="5">
        <f t="shared" si="2"/>
        <v>3645.999166666667</v>
      </c>
    </row>
    <row r="43" spans="1:17">
      <c r="A43" s="4">
        <v>70053</v>
      </c>
      <c r="B43" s="1" t="s">
        <v>39</v>
      </c>
      <c r="C43" s="5">
        <v>44309.51</v>
      </c>
      <c r="D43" s="5">
        <v>16838.080000000002</v>
      </c>
      <c r="E43" s="5">
        <v>11096.92</v>
      </c>
      <c r="F43" s="5">
        <v>15935.17</v>
      </c>
      <c r="G43" s="5">
        <v>15548.89</v>
      </c>
      <c r="H43" s="5">
        <v>20470.23</v>
      </c>
      <c r="I43" s="5">
        <v>8172.62</v>
      </c>
      <c r="J43" s="5">
        <v>11022.43</v>
      </c>
      <c r="K43" s="5">
        <v>12675.44</v>
      </c>
      <c r="L43" s="5">
        <v>15505.69</v>
      </c>
      <c r="M43" s="5">
        <v>18632.650000000001</v>
      </c>
      <c r="N43" s="5"/>
      <c r="O43" s="5">
        <f t="shared" si="0"/>
        <v>190207.63</v>
      </c>
      <c r="P43" s="5">
        <f t="shared" si="1"/>
        <v>11</v>
      </c>
      <c r="Q43" s="5">
        <f t="shared" si="2"/>
        <v>17291.602727272726</v>
      </c>
    </row>
    <row r="44" spans="1:17">
      <c r="A44" s="4">
        <v>70054</v>
      </c>
      <c r="B44" s="1" t="s">
        <v>40</v>
      </c>
      <c r="C44" s="5">
        <v>12322.22</v>
      </c>
      <c r="D44" s="5">
        <v>7123.88</v>
      </c>
      <c r="E44" s="5">
        <v>12670.39</v>
      </c>
      <c r="F44" s="5">
        <v>12440.03</v>
      </c>
      <c r="G44" s="5">
        <v>8271.6</v>
      </c>
      <c r="H44" s="5">
        <v>4285.3100000000004</v>
      </c>
      <c r="I44" s="5">
        <v>5272.4</v>
      </c>
      <c r="J44" s="5">
        <v>4072.09</v>
      </c>
      <c r="K44" s="5">
        <v>9223.31</v>
      </c>
      <c r="L44" s="5">
        <v>13125.84</v>
      </c>
      <c r="M44" s="5">
        <v>9598.4500000000007</v>
      </c>
      <c r="N44" s="5">
        <v>8504.9</v>
      </c>
      <c r="O44" s="5">
        <f t="shared" si="0"/>
        <v>106910.41999999998</v>
      </c>
      <c r="P44" s="5">
        <f t="shared" si="1"/>
        <v>12</v>
      </c>
      <c r="Q44" s="5">
        <f t="shared" si="2"/>
        <v>8909.2016666666659</v>
      </c>
    </row>
    <row r="45" spans="1:17">
      <c r="A45" s="4">
        <v>70055</v>
      </c>
      <c r="B45" s="1" t="s">
        <v>41</v>
      </c>
      <c r="C45" s="5">
        <v>6730.17</v>
      </c>
      <c r="D45" s="5">
        <v>6452.84</v>
      </c>
      <c r="E45" s="5">
        <v>6138.21</v>
      </c>
      <c r="F45" s="5">
        <v>5907.36</v>
      </c>
      <c r="G45" s="5">
        <v>4747.55</v>
      </c>
      <c r="H45" s="5">
        <v>3375.46</v>
      </c>
      <c r="I45" s="5">
        <v>3485.37</v>
      </c>
      <c r="J45" s="5">
        <v>3875.58</v>
      </c>
      <c r="K45" s="5">
        <v>5414.25</v>
      </c>
      <c r="L45" s="5">
        <v>5892.94</v>
      </c>
      <c r="M45" s="5">
        <v>5948.04</v>
      </c>
      <c r="N45" s="5">
        <v>5503.61</v>
      </c>
      <c r="O45" s="5">
        <f t="shared" si="0"/>
        <v>63471.380000000012</v>
      </c>
      <c r="P45" s="5">
        <f t="shared" si="1"/>
        <v>12</v>
      </c>
      <c r="Q45" s="5">
        <f t="shared" si="2"/>
        <v>5289.2816666666677</v>
      </c>
    </row>
    <row r="46" spans="1:17">
      <c r="A46" s="4" t="s">
        <v>62</v>
      </c>
      <c r="B46" s="1" t="s">
        <v>63</v>
      </c>
      <c r="J46" s="5"/>
      <c r="K46" s="5"/>
      <c r="L46" s="5"/>
      <c r="M46" s="5"/>
      <c r="N46" s="5"/>
      <c r="O46" s="5"/>
      <c r="P46" s="5">
        <f t="shared" si="1"/>
        <v>0</v>
      </c>
      <c r="Q46" s="5"/>
    </row>
    <row r="47" spans="1:17">
      <c r="A47" s="4">
        <v>70062</v>
      </c>
      <c r="B47" s="1" t="s">
        <v>42</v>
      </c>
      <c r="C47" s="5">
        <v>6819.61</v>
      </c>
      <c r="D47" s="5">
        <v>6977.1</v>
      </c>
      <c r="E47" s="5">
        <v>7229.14</v>
      </c>
      <c r="F47" s="5">
        <v>7791.77</v>
      </c>
      <c r="G47" s="5">
        <v>5788.94</v>
      </c>
      <c r="H47" s="5">
        <v>3738.56</v>
      </c>
      <c r="I47" s="5">
        <v>4514.2700000000004</v>
      </c>
      <c r="J47" s="5">
        <v>4624.21</v>
      </c>
      <c r="K47" s="5">
        <v>5943.02</v>
      </c>
      <c r="L47" s="5">
        <v>7807.38</v>
      </c>
      <c r="M47" s="5">
        <v>7385.24</v>
      </c>
      <c r="N47" s="5">
        <v>6906.23</v>
      </c>
      <c r="O47" s="5">
        <f t="shared" si="0"/>
        <v>75525.469999999987</v>
      </c>
      <c r="P47" s="5">
        <f t="shared" si="1"/>
        <v>12</v>
      </c>
      <c r="Q47" s="5">
        <f t="shared" si="2"/>
        <v>6293.7891666666656</v>
      </c>
    </row>
    <row r="48" spans="1:17">
      <c r="A48" s="4">
        <v>70063</v>
      </c>
      <c r="B48" s="1" t="s">
        <v>43</v>
      </c>
      <c r="C48" s="5">
        <v>7961.83</v>
      </c>
      <c r="D48" s="5">
        <v>8555.68</v>
      </c>
      <c r="E48" s="5">
        <v>8067.65</v>
      </c>
      <c r="F48" s="5">
        <v>9412.44</v>
      </c>
      <c r="G48" s="5">
        <v>7175.6</v>
      </c>
      <c r="H48" s="5">
        <v>5437.65</v>
      </c>
      <c r="I48" s="5">
        <v>6099.11</v>
      </c>
      <c r="J48" s="5">
        <v>6482.18</v>
      </c>
      <c r="K48" s="5">
        <v>7894.54</v>
      </c>
      <c r="L48" s="5">
        <v>9228.7099999999991</v>
      </c>
      <c r="M48" s="5">
        <v>9037.6</v>
      </c>
      <c r="N48" s="5">
        <v>8511.23</v>
      </c>
      <c r="O48" s="5">
        <f t="shared" si="0"/>
        <v>93864.220000000016</v>
      </c>
      <c r="P48" s="5">
        <f t="shared" si="1"/>
        <v>12</v>
      </c>
      <c r="Q48" s="5">
        <f t="shared" si="2"/>
        <v>7822.0183333333343</v>
      </c>
    </row>
    <row r="49" spans="1:17">
      <c r="A49" s="4">
        <v>70065</v>
      </c>
      <c r="B49" s="1" t="s">
        <v>44</v>
      </c>
      <c r="C49" s="5">
        <v>207.24</v>
      </c>
      <c r="D49" s="5">
        <v>97.8</v>
      </c>
      <c r="E49" s="5">
        <v>206.04</v>
      </c>
      <c r="F49" s="5">
        <v>386.76</v>
      </c>
      <c r="G49" s="5">
        <v>27.42</v>
      </c>
      <c r="H49" s="5">
        <v>17.88</v>
      </c>
      <c r="J49" s="5">
        <v>29.28</v>
      </c>
      <c r="K49" s="5">
        <v>184.14</v>
      </c>
      <c r="L49" s="5">
        <v>312.14</v>
      </c>
      <c r="M49" s="5">
        <v>215.16</v>
      </c>
      <c r="N49" s="5">
        <v>37.5</v>
      </c>
      <c r="O49" s="5">
        <f t="shared" si="0"/>
        <v>1721.36</v>
      </c>
      <c r="P49" s="5">
        <f t="shared" si="1"/>
        <v>11</v>
      </c>
      <c r="Q49" s="5">
        <f t="shared" si="2"/>
        <v>156.48727272727271</v>
      </c>
    </row>
    <row r="50" spans="1:17">
      <c r="A50" s="4">
        <v>70066</v>
      </c>
      <c r="B50" s="1" t="s">
        <v>45</v>
      </c>
      <c r="C50" s="5">
        <v>259.33999999999997</v>
      </c>
      <c r="D50" s="5">
        <v>300</v>
      </c>
      <c r="E50" s="5">
        <v>51.96</v>
      </c>
      <c r="J50" s="5"/>
      <c r="K50" s="5"/>
      <c r="L50" s="5"/>
      <c r="M50" s="5"/>
      <c r="N50" s="5"/>
      <c r="O50" s="5">
        <f t="shared" si="0"/>
        <v>611.29999999999995</v>
      </c>
      <c r="P50" s="5">
        <f t="shared" si="1"/>
        <v>3</v>
      </c>
      <c r="Q50" s="5">
        <f t="shared" si="2"/>
        <v>203.76666666666665</v>
      </c>
    </row>
    <row r="51" spans="1:17">
      <c r="A51" s="4">
        <v>70067</v>
      </c>
      <c r="B51" s="1" t="s">
        <v>46</v>
      </c>
      <c r="C51" s="5">
        <v>3337.42</v>
      </c>
      <c r="D51" s="5">
        <v>3247.8</v>
      </c>
      <c r="E51" s="5">
        <v>2671.47</v>
      </c>
      <c r="F51" s="5">
        <v>3664.46</v>
      </c>
      <c r="G51" s="5">
        <v>2093.5300000000002</v>
      </c>
      <c r="H51" s="5">
        <v>1429.95</v>
      </c>
      <c r="I51" s="5">
        <v>1214.8599999999999</v>
      </c>
      <c r="J51" s="5">
        <v>1535.19</v>
      </c>
      <c r="K51" s="5">
        <v>3120.61</v>
      </c>
      <c r="L51" s="5">
        <v>3622.05</v>
      </c>
      <c r="M51" s="5">
        <v>3380.22</v>
      </c>
      <c r="N51" s="5"/>
      <c r="O51" s="5">
        <f t="shared" si="0"/>
        <v>29317.56</v>
      </c>
      <c r="P51" s="5">
        <f t="shared" si="1"/>
        <v>11</v>
      </c>
      <c r="Q51" s="5">
        <f t="shared" si="2"/>
        <v>2665.2327272727275</v>
      </c>
    </row>
    <row r="52" spans="1:17">
      <c r="A52" s="4">
        <v>70068</v>
      </c>
      <c r="B52" s="1" t="s">
        <v>47</v>
      </c>
      <c r="C52" s="5">
        <v>522.78</v>
      </c>
      <c r="D52" s="5">
        <v>497.01</v>
      </c>
      <c r="E52" s="5">
        <v>480.3</v>
      </c>
      <c r="F52" s="5">
        <v>453.89</v>
      </c>
      <c r="G52" s="5">
        <v>112.96</v>
      </c>
      <c r="H52" s="5">
        <v>106.95</v>
      </c>
      <c r="I52" s="5">
        <v>65.599999999999994</v>
      </c>
      <c r="J52" s="5">
        <v>78.31</v>
      </c>
      <c r="K52" s="5">
        <v>299.82</v>
      </c>
      <c r="L52" s="5">
        <v>601.98</v>
      </c>
      <c r="M52" s="5">
        <v>309.95999999999998</v>
      </c>
      <c r="N52" s="5">
        <v>293.04000000000002</v>
      </c>
      <c r="O52" s="5">
        <f t="shared" si="0"/>
        <v>3822.6</v>
      </c>
      <c r="P52" s="5">
        <f t="shared" si="1"/>
        <v>12</v>
      </c>
      <c r="Q52" s="5">
        <f t="shared" si="2"/>
        <v>318.55</v>
      </c>
    </row>
    <row r="53" spans="1:17">
      <c r="A53" s="4" t="s">
        <v>72</v>
      </c>
      <c r="B53" s="1" t="s">
        <v>48</v>
      </c>
      <c r="C53" s="5">
        <v>6298</v>
      </c>
      <c r="D53" s="5">
        <v>5766</v>
      </c>
      <c r="E53" s="5">
        <v>5584</v>
      </c>
      <c r="F53" s="5">
        <v>6082</v>
      </c>
      <c r="G53" s="5">
        <v>4296</v>
      </c>
      <c r="H53" s="5">
        <v>3177</v>
      </c>
      <c r="I53" s="5">
        <v>3197</v>
      </c>
      <c r="J53" s="5">
        <v>3740</v>
      </c>
      <c r="K53" s="5">
        <v>5843</v>
      </c>
      <c r="L53" s="5">
        <v>6626</v>
      </c>
      <c r="M53" s="5">
        <v>6545</v>
      </c>
      <c r="N53" s="5">
        <v>6391</v>
      </c>
      <c r="O53" s="5">
        <f t="shared" si="0"/>
        <v>63545</v>
      </c>
      <c r="P53" s="5">
        <f t="shared" si="1"/>
        <v>12</v>
      </c>
      <c r="Q53" s="5">
        <f t="shared" si="2"/>
        <v>5295.416666666667</v>
      </c>
    </row>
    <row r="54" spans="1:17">
      <c r="A54" s="4" t="s">
        <v>65</v>
      </c>
      <c r="B54" s="1" t="s">
        <v>67</v>
      </c>
      <c r="C54" s="5">
        <v>15271.14</v>
      </c>
      <c r="D54" s="5">
        <v>15825.78</v>
      </c>
      <c r="E54" s="5">
        <v>15197.52</v>
      </c>
      <c r="F54" s="5">
        <v>18917.939999999999</v>
      </c>
      <c r="G54" s="5">
        <v>14619.06</v>
      </c>
      <c r="H54" s="5">
        <v>13998.66</v>
      </c>
      <c r="I54" s="5">
        <v>12366.6</v>
      </c>
      <c r="J54" s="5">
        <v>14671.86</v>
      </c>
      <c r="K54" s="5">
        <v>18124.8</v>
      </c>
      <c r="L54" s="5">
        <v>16950.54</v>
      </c>
      <c r="M54" s="5">
        <v>20101.38</v>
      </c>
      <c r="N54" s="5">
        <v>18416.939999999999</v>
      </c>
      <c r="O54" s="5">
        <f t="shared" si="0"/>
        <v>194462.22000000003</v>
      </c>
      <c r="P54" s="5">
        <f t="shared" si="1"/>
        <v>12</v>
      </c>
      <c r="Q54" s="5">
        <f t="shared" si="2"/>
        <v>16205.185000000003</v>
      </c>
    </row>
    <row r="55" spans="1:17">
      <c r="A55" s="4">
        <v>70071</v>
      </c>
      <c r="B55" s="1" t="s">
        <v>49</v>
      </c>
      <c r="C55" s="5">
        <v>378.66</v>
      </c>
      <c r="D55" s="5">
        <v>209.28</v>
      </c>
      <c r="E55" s="5">
        <v>432.72</v>
      </c>
      <c r="F55" s="5">
        <v>604.20000000000005</v>
      </c>
      <c r="G55" s="5">
        <v>330.23</v>
      </c>
      <c r="H55" s="5">
        <v>11.4</v>
      </c>
      <c r="I55" s="5">
        <v>31.8</v>
      </c>
      <c r="J55" s="5">
        <v>56.7</v>
      </c>
      <c r="K55" s="5">
        <v>260.25</v>
      </c>
      <c r="L55" s="5">
        <v>794.4</v>
      </c>
      <c r="M55" s="5">
        <v>294.77999999999997</v>
      </c>
      <c r="N55" s="5">
        <v>247.8</v>
      </c>
      <c r="O55" s="5">
        <f t="shared" si="0"/>
        <v>3652.2200000000003</v>
      </c>
      <c r="P55" s="5">
        <f t="shared" si="1"/>
        <v>12</v>
      </c>
      <c r="Q55" s="5">
        <f t="shared" si="2"/>
        <v>304.35166666666669</v>
      </c>
    </row>
    <row r="56" spans="1:17">
      <c r="A56" s="4">
        <v>70072</v>
      </c>
      <c r="B56" s="1" t="s">
        <v>50</v>
      </c>
      <c r="C56" s="5">
        <v>6651.71</v>
      </c>
      <c r="D56" s="5">
        <v>6878.94</v>
      </c>
      <c r="E56" s="5">
        <v>6740.68</v>
      </c>
      <c r="F56" s="5">
        <v>5606.59</v>
      </c>
      <c r="G56" s="5">
        <v>4485.47</v>
      </c>
      <c r="H56" s="5">
        <v>3784.58</v>
      </c>
      <c r="I56" s="5">
        <v>4426.97</v>
      </c>
      <c r="J56" s="5">
        <v>4529.3999999999996</v>
      </c>
      <c r="K56" s="5">
        <v>6165.42</v>
      </c>
      <c r="L56" s="5">
        <v>7511.45</v>
      </c>
      <c r="M56" s="5">
        <v>6844.7</v>
      </c>
      <c r="N56" s="5">
        <v>5748.61</v>
      </c>
      <c r="O56" s="5">
        <f t="shared" si="0"/>
        <v>69374.51999999999</v>
      </c>
      <c r="P56" s="5">
        <f t="shared" si="1"/>
        <v>12</v>
      </c>
      <c r="Q56" s="5">
        <f t="shared" si="2"/>
        <v>5781.2099999999991</v>
      </c>
    </row>
    <row r="57" spans="1:17">
      <c r="A57" s="4">
        <v>70074</v>
      </c>
      <c r="B57" s="1" t="s">
        <v>52</v>
      </c>
      <c r="C57" s="5">
        <v>501.84</v>
      </c>
      <c r="D57" s="5">
        <v>191.64</v>
      </c>
      <c r="J57" s="5"/>
      <c r="K57" s="5"/>
      <c r="L57" s="5"/>
      <c r="M57" s="5"/>
      <c r="N57" s="5"/>
      <c r="O57" s="5">
        <f t="shared" si="0"/>
        <v>693.48</v>
      </c>
      <c r="P57" s="5">
        <f t="shared" si="1"/>
        <v>2</v>
      </c>
      <c r="Q57" s="5">
        <f t="shared" si="2"/>
        <v>346.74</v>
      </c>
    </row>
    <row r="58" spans="1:17">
      <c r="A58" s="4">
        <v>70075</v>
      </c>
      <c r="B58" s="1" t="s">
        <v>53</v>
      </c>
      <c r="C58" s="5">
        <v>6073.41</v>
      </c>
      <c r="D58" s="5">
        <v>535.47</v>
      </c>
      <c r="E58" s="5">
        <v>4892.16</v>
      </c>
      <c r="F58" s="5">
        <v>5388.47</v>
      </c>
      <c r="G58" s="5">
        <v>4493.26</v>
      </c>
      <c r="H58" s="5">
        <v>4046.81</v>
      </c>
      <c r="I58" s="5">
        <v>3776.54</v>
      </c>
      <c r="J58" s="5">
        <v>3803.82</v>
      </c>
      <c r="K58" s="5">
        <v>5216.28</v>
      </c>
      <c r="L58" s="5">
        <v>6300.31</v>
      </c>
      <c r="M58" s="5">
        <v>0</v>
      </c>
      <c r="N58" s="5">
        <v>5989.37</v>
      </c>
      <c r="O58" s="5">
        <f t="shared" si="0"/>
        <v>50515.900000000009</v>
      </c>
      <c r="P58" s="5">
        <f t="shared" si="1"/>
        <v>12</v>
      </c>
      <c r="Q58" s="5">
        <f t="shared" si="2"/>
        <v>4209.6583333333338</v>
      </c>
    </row>
    <row r="59" spans="1:17">
      <c r="A59" s="4">
        <v>70076</v>
      </c>
      <c r="B59" s="1" t="s">
        <v>54</v>
      </c>
      <c r="C59" s="5">
        <v>8049.04</v>
      </c>
      <c r="D59" s="5">
        <v>7893.53</v>
      </c>
      <c r="E59" s="5">
        <v>7650.35</v>
      </c>
      <c r="F59" s="5">
        <v>8829.26</v>
      </c>
      <c r="G59" s="5">
        <v>6954.25</v>
      </c>
      <c r="H59" s="5">
        <v>5192.8500000000004</v>
      </c>
      <c r="I59" s="5">
        <v>5644.86</v>
      </c>
      <c r="J59" s="5">
        <v>5898.85</v>
      </c>
      <c r="K59" s="5">
        <v>7641.75</v>
      </c>
      <c r="L59" s="5">
        <v>9180.14</v>
      </c>
      <c r="M59" s="5">
        <v>8832.9599999999991</v>
      </c>
      <c r="N59" s="5">
        <v>8137.34</v>
      </c>
      <c r="O59" s="5">
        <f t="shared" si="0"/>
        <v>89905.18</v>
      </c>
      <c r="P59" s="5">
        <f t="shared" si="1"/>
        <v>12</v>
      </c>
      <c r="Q59" s="5">
        <f t="shared" si="2"/>
        <v>7492.0983333333324</v>
      </c>
    </row>
    <row r="60" spans="1:17">
      <c r="A60" s="4">
        <v>70077</v>
      </c>
      <c r="B60" s="1" t="s">
        <v>3</v>
      </c>
      <c r="C60" s="5">
        <v>2822.59</v>
      </c>
      <c r="D60" s="5">
        <v>2747.44</v>
      </c>
      <c r="E60" s="5">
        <v>2508.64</v>
      </c>
      <c r="F60" s="5">
        <v>2662.49</v>
      </c>
      <c r="G60" s="5">
        <v>2496.61</v>
      </c>
      <c r="H60" s="5">
        <v>1829.85</v>
      </c>
      <c r="I60" s="5">
        <v>2314.13</v>
      </c>
      <c r="J60" s="5">
        <v>2287.91</v>
      </c>
      <c r="K60" s="5">
        <v>2801.05</v>
      </c>
      <c r="L60" s="5">
        <v>2996.44</v>
      </c>
      <c r="M60" s="5">
        <v>2766.28</v>
      </c>
      <c r="N60" s="5">
        <v>2711.29</v>
      </c>
      <c r="O60" s="5">
        <f t="shared" si="0"/>
        <v>30944.719999999998</v>
      </c>
      <c r="P60" s="5">
        <f t="shared" si="1"/>
        <v>12</v>
      </c>
      <c r="Q60" s="5">
        <f t="shared" si="2"/>
        <v>2578.7266666666665</v>
      </c>
    </row>
    <row r="61" spans="1:17">
      <c r="A61" s="4">
        <v>70078</v>
      </c>
      <c r="B61" s="1" t="s">
        <v>55</v>
      </c>
      <c r="C61" s="5">
        <v>9653.5499999999993</v>
      </c>
      <c r="D61" s="5">
        <v>9287.1200000000008</v>
      </c>
      <c r="E61" s="5">
        <v>12374.23</v>
      </c>
      <c r="F61" s="5">
        <v>10793</v>
      </c>
      <c r="G61" s="5">
        <v>8951.4699999999993</v>
      </c>
      <c r="H61" s="5">
        <v>8962.89</v>
      </c>
      <c r="I61" s="5">
        <v>6578.52</v>
      </c>
      <c r="J61" s="5">
        <v>8249.07</v>
      </c>
      <c r="K61" s="5">
        <v>12472.82</v>
      </c>
      <c r="L61" s="5">
        <v>12056.2</v>
      </c>
      <c r="M61" s="5">
        <v>11137.82</v>
      </c>
      <c r="N61" s="5">
        <v>13005.5</v>
      </c>
      <c r="O61" s="5">
        <f t="shared" si="0"/>
        <v>123522.19</v>
      </c>
      <c r="P61" s="5">
        <f t="shared" si="1"/>
        <v>12</v>
      </c>
      <c r="Q61" s="5">
        <f t="shared" si="2"/>
        <v>10293.515833333333</v>
      </c>
    </row>
    <row r="62" spans="1:17">
      <c r="A62" s="4">
        <v>70079</v>
      </c>
      <c r="B62" s="1" t="s">
        <v>56</v>
      </c>
      <c r="C62" s="5">
        <v>8822.24</v>
      </c>
      <c r="D62" s="5">
        <v>8361.98</v>
      </c>
      <c r="E62" s="5">
        <v>8559.41</v>
      </c>
      <c r="F62" s="5">
        <v>10638.32</v>
      </c>
      <c r="G62" s="5">
        <v>7802.48</v>
      </c>
      <c r="H62" s="5">
        <v>6410.81</v>
      </c>
      <c r="I62" s="5">
        <v>7756.93</v>
      </c>
      <c r="J62" s="5">
        <v>7007.17</v>
      </c>
      <c r="K62" s="5"/>
      <c r="L62" s="5">
        <v>4105.58</v>
      </c>
      <c r="M62" s="5">
        <v>10853.22</v>
      </c>
      <c r="N62" s="5">
        <v>1968.86</v>
      </c>
      <c r="O62" s="5">
        <f t="shared" si="0"/>
        <v>82286.999999999985</v>
      </c>
      <c r="P62" s="5">
        <f t="shared" si="1"/>
        <v>11</v>
      </c>
      <c r="Q62" s="5">
        <f t="shared" si="2"/>
        <v>7480.6363636363621</v>
      </c>
    </row>
    <row r="63" spans="1:17">
      <c r="A63" s="4">
        <v>70080</v>
      </c>
      <c r="B63" s="1" t="s">
        <v>57</v>
      </c>
      <c r="C63" s="5">
        <v>8091.57</v>
      </c>
      <c r="D63" s="5">
        <v>7364.08</v>
      </c>
      <c r="E63" s="5">
        <v>7274.46</v>
      </c>
      <c r="F63" s="5">
        <v>8170.17</v>
      </c>
      <c r="G63" s="5">
        <v>6288.13</v>
      </c>
      <c r="H63" s="5">
        <v>4518.6000000000004</v>
      </c>
      <c r="I63" s="5">
        <v>4271.45</v>
      </c>
      <c r="J63" s="5"/>
      <c r="K63" s="5">
        <v>3124.93</v>
      </c>
      <c r="L63" s="5">
        <v>9013.7000000000007</v>
      </c>
      <c r="M63" s="5">
        <v>8081.69</v>
      </c>
      <c r="N63" s="5">
        <v>1872.91</v>
      </c>
      <c r="O63" s="5">
        <f t="shared" si="0"/>
        <v>68071.69</v>
      </c>
      <c r="P63" s="5">
        <f t="shared" si="1"/>
        <v>11</v>
      </c>
      <c r="Q63" s="5">
        <f t="shared" si="2"/>
        <v>6188.3354545454549</v>
      </c>
    </row>
    <row r="64" spans="1:17">
      <c r="A64" s="4">
        <v>70081</v>
      </c>
      <c r="B64" s="1" t="s">
        <v>58</v>
      </c>
      <c r="C64" s="5">
        <v>32134.1</v>
      </c>
      <c r="D64" s="5">
        <v>32348.41</v>
      </c>
      <c r="E64" s="5">
        <v>44056.76</v>
      </c>
      <c r="F64" s="5">
        <v>41338.639999999999</v>
      </c>
      <c r="G64" s="5">
        <v>28844.19</v>
      </c>
      <c r="H64" s="5">
        <v>19892.189999999999</v>
      </c>
      <c r="I64" s="5">
        <v>17941.95</v>
      </c>
      <c r="J64" s="5">
        <v>22381.22</v>
      </c>
      <c r="K64" s="5">
        <v>38890.68</v>
      </c>
      <c r="L64" s="5">
        <v>39584.58</v>
      </c>
      <c r="M64" s="5">
        <v>41425.599999999999</v>
      </c>
      <c r="N64" s="5">
        <v>39705.21</v>
      </c>
      <c r="O64" s="5">
        <f t="shared" si="0"/>
        <v>398543.53</v>
      </c>
      <c r="P64" s="5">
        <f t="shared" si="1"/>
        <v>12</v>
      </c>
      <c r="Q64" s="5">
        <f t="shared" si="2"/>
        <v>33211.960833333338</v>
      </c>
    </row>
    <row r="65" spans="1:17">
      <c r="A65" s="4">
        <v>70082</v>
      </c>
      <c r="B65" s="1" t="s">
        <v>59</v>
      </c>
      <c r="C65" s="5">
        <v>3653.33</v>
      </c>
      <c r="D65" s="5">
        <v>2793.58</v>
      </c>
      <c r="E65" s="5">
        <v>2119.3000000000002</v>
      </c>
      <c r="F65" s="5">
        <v>3007.09</v>
      </c>
      <c r="G65" s="5">
        <v>2080.94</v>
      </c>
      <c r="H65" s="5">
        <v>2006.02</v>
      </c>
      <c r="I65" s="5">
        <v>1250.8399999999999</v>
      </c>
      <c r="J65" s="5">
        <v>1623.92</v>
      </c>
      <c r="K65" s="5">
        <v>2868.56</v>
      </c>
      <c r="L65" s="5">
        <v>3071.31</v>
      </c>
      <c r="M65" s="5">
        <v>3174.25</v>
      </c>
      <c r="N65" s="5">
        <v>3487.61</v>
      </c>
      <c r="O65" s="5">
        <f t="shared" si="0"/>
        <v>31136.75</v>
      </c>
      <c r="P65" s="5">
        <f t="shared" si="1"/>
        <v>12</v>
      </c>
      <c r="Q65" s="5">
        <f t="shared" si="2"/>
        <v>2594.7291666666665</v>
      </c>
    </row>
    <row r="66" spans="1:17">
      <c r="A66" s="4">
        <v>70084</v>
      </c>
      <c r="B66" s="1" t="s">
        <v>64</v>
      </c>
      <c r="C66" s="5">
        <v>4057.77</v>
      </c>
      <c r="D66" s="5">
        <v>3312.28</v>
      </c>
      <c r="E66" s="5">
        <v>4132.95</v>
      </c>
      <c r="F66" s="5">
        <v>3866.14</v>
      </c>
      <c r="G66" s="5">
        <v>2225.77</v>
      </c>
      <c r="H66" s="5">
        <v>2302.1</v>
      </c>
      <c r="I66" s="5">
        <v>2254</v>
      </c>
      <c r="J66" s="5">
        <v>3099.42</v>
      </c>
      <c r="K66" s="5">
        <v>4152.99</v>
      </c>
      <c r="L66" s="5">
        <v>2817.66</v>
      </c>
      <c r="M66" s="5">
        <v>3825.33</v>
      </c>
      <c r="N66" s="5"/>
      <c r="O66" s="5">
        <f t="shared" si="0"/>
        <v>36046.409999999996</v>
      </c>
      <c r="P66" s="5">
        <f t="shared" si="1"/>
        <v>11</v>
      </c>
      <c r="Q66" s="5">
        <f t="shared" si="2"/>
        <v>3276.9463636363635</v>
      </c>
    </row>
    <row r="67" spans="1:17">
      <c r="A67" s="4">
        <v>70085</v>
      </c>
      <c r="B67" s="1" t="s">
        <v>76</v>
      </c>
      <c r="C67" s="5">
        <v>952.19</v>
      </c>
      <c r="F67" s="5">
        <v>534.79999999999995</v>
      </c>
      <c r="G67" s="5">
        <v>438.83</v>
      </c>
      <c r="H67" s="5">
        <v>533.12</v>
      </c>
      <c r="I67" s="5">
        <v>474.48</v>
      </c>
      <c r="J67" s="5">
        <v>554.21</v>
      </c>
      <c r="K67" s="5">
        <v>1174.8599999999999</v>
      </c>
      <c r="L67" s="5">
        <v>858.95</v>
      </c>
      <c r="M67" s="5">
        <v>769.83</v>
      </c>
      <c r="N67" s="5">
        <v>921.74</v>
      </c>
      <c r="O67" s="5">
        <f>SUM(C67:N67)</f>
        <v>7213.0099999999993</v>
      </c>
      <c r="P67" s="5">
        <f>COUNT(C67:N67)</f>
        <v>10</v>
      </c>
      <c r="Q67" s="5">
        <f>+O67/P67</f>
        <v>721.30099999999993</v>
      </c>
    </row>
    <row r="68" spans="1:17">
      <c r="A68" s="4">
        <v>70086</v>
      </c>
      <c r="B68" s="1" t="s">
        <v>85</v>
      </c>
      <c r="J68" s="5">
        <v>16.2</v>
      </c>
      <c r="K68" s="5">
        <v>54.06</v>
      </c>
      <c r="L68" s="5">
        <v>214.32</v>
      </c>
      <c r="M68" s="5">
        <v>134.52000000000001</v>
      </c>
      <c r="N68" s="5">
        <v>176.82</v>
      </c>
      <c r="O68" s="5">
        <f>SUM(C68:N68)</f>
        <v>595.92000000000007</v>
      </c>
      <c r="P68" s="5">
        <f>COUNT(C68:N68)</f>
        <v>5</v>
      </c>
      <c r="Q68" s="5">
        <f>+O68/P68</f>
        <v>119.18400000000001</v>
      </c>
    </row>
    <row r="69" spans="1:17">
      <c r="A69" s="4">
        <v>70087</v>
      </c>
      <c r="B69" s="1" t="s">
        <v>87</v>
      </c>
      <c r="J69" s="5"/>
      <c r="K69" s="5"/>
      <c r="L69" s="5"/>
      <c r="M69" s="5"/>
      <c r="N69" s="5"/>
      <c r="O69" s="5">
        <f>SUM(C69:N69)</f>
        <v>0</v>
      </c>
      <c r="P69" s="5">
        <f>COUNT(C69:N69)</f>
        <v>0</v>
      </c>
      <c r="Q69" s="5"/>
    </row>
    <row r="70" spans="1:17">
      <c r="A70" s="21">
        <v>70088</v>
      </c>
      <c r="B70" s="22" t="s">
        <v>88</v>
      </c>
      <c r="C70" s="25"/>
      <c r="D70" s="25"/>
      <c r="E70" s="25"/>
      <c r="F70" s="25"/>
      <c r="G70" s="25"/>
      <c r="H70" s="25"/>
      <c r="I70" s="25"/>
      <c r="J70" s="22"/>
      <c r="K70" s="22"/>
      <c r="L70" s="22"/>
      <c r="M70" s="22">
        <v>17.55</v>
      </c>
      <c r="N70" s="27">
        <v>116.6</v>
      </c>
      <c r="O70" s="25">
        <f>SUM(C70:N70)</f>
        <v>134.15</v>
      </c>
      <c r="P70" s="25">
        <f>COUNT(C70:N70)</f>
        <v>2</v>
      </c>
      <c r="Q70" s="25">
        <f>+O70/P70</f>
        <v>67.075000000000003</v>
      </c>
    </row>
    <row r="71" spans="1:17">
      <c r="A71" s="4"/>
      <c r="C71" s="28"/>
      <c r="D71" s="28"/>
      <c r="E71" s="28"/>
      <c r="F71" s="28"/>
      <c r="G71" s="28"/>
      <c r="H71" s="28"/>
      <c r="I71" s="28"/>
      <c r="N71" s="29"/>
      <c r="P71" s="28"/>
      <c r="Q71" s="28"/>
    </row>
    <row r="72" spans="1:17">
      <c r="B72" s="1" t="s">
        <v>140</v>
      </c>
      <c r="C72" s="5">
        <f>SUM(C2:C70)</f>
        <v>582984.03999999992</v>
      </c>
      <c r="D72" s="5">
        <f t="shared" ref="D72:O72" si="3">SUM(D2:D70)</f>
        <v>488290.07000000007</v>
      </c>
      <c r="E72" s="5">
        <f t="shared" si="3"/>
        <v>486607.06</v>
      </c>
      <c r="F72" s="5">
        <f t="shared" si="3"/>
        <v>560072.40000000014</v>
      </c>
      <c r="G72" s="5">
        <f t="shared" si="3"/>
        <v>429941.20999999985</v>
      </c>
      <c r="H72" s="5">
        <f t="shared" si="3"/>
        <v>352088.81000000006</v>
      </c>
      <c r="I72" s="5">
        <f t="shared" si="3"/>
        <v>308058.87</v>
      </c>
      <c r="J72" s="5">
        <f t="shared" si="3"/>
        <v>332109.61999999988</v>
      </c>
      <c r="K72" s="5">
        <f t="shared" si="3"/>
        <v>499074.41999999993</v>
      </c>
      <c r="L72" s="5">
        <f t="shared" si="3"/>
        <v>585275.68999999994</v>
      </c>
      <c r="M72" s="5">
        <f t="shared" si="3"/>
        <v>576549.12999999989</v>
      </c>
      <c r="N72" s="5">
        <f t="shared" si="3"/>
        <v>438162.8899999999</v>
      </c>
      <c r="O72" s="5">
        <f t="shared" si="3"/>
        <v>5639214.209999999</v>
      </c>
      <c r="Q72" s="5">
        <f>+O72/12</f>
        <v>469934.5174999999</v>
      </c>
    </row>
  </sheetData>
  <phoneticPr fontId="0" type="noConversion"/>
  <printOptions horizontalCentered="1"/>
  <pageMargins left="0.25" right="0.25" top="1" bottom="0.75" header="0.5" footer="0.5"/>
  <pageSetup scale="61" fitToHeight="2" orientation="landscape" r:id="rId1"/>
  <headerFooter alignWithMargins="0">
    <oddHeader>&amp;C&amp;"Arial,Bold"&amp;22Occupancy Tax Receipts
Fiscal Year 2002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Q1669"/>
  <sheetViews>
    <sheetView topLeftCell="A4" workbookViewId="0">
      <selection activeCell="B83" sqref="B83"/>
    </sheetView>
  </sheetViews>
  <sheetFormatPr defaultColWidth="9.08984375" defaultRowHeight="10"/>
  <cols>
    <col min="1" max="1" width="7.54296875" style="1" bestFit="1" customWidth="1"/>
    <col min="2" max="2" width="27.08984375" style="1" bestFit="1" customWidth="1"/>
    <col min="3" max="3" width="12" style="1" bestFit="1" customWidth="1"/>
    <col min="4" max="14" width="10.6328125" style="1" bestFit="1" customWidth="1"/>
    <col min="15" max="15" width="12" style="1" bestFit="1" customWidth="1"/>
    <col min="16" max="16" width="2.6328125" style="1" hidden="1" customWidth="1"/>
    <col min="17" max="17" width="10.6328125" style="1" bestFit="1" customWidth="1"/>
    <col min="18" max="16384" width="9.08984375" style="1"/>
  </cols>
  <sheetData>
    <row r="1" spans="1:17" s="17" customFormat="1" ht="21">
      <c r="A1" s="14" t="s">
        <v>82</v>
      </c>
      <c r="B1" s="15" t="s">
        <v>0</v>
      </c>
      <c r="C1" s="16" t="s">
        <v>161</v>
      </c>
      <c r="D1" s="16" t="s">
        <v>162</v>
      </c>
      <c r="E1" s="16" t="s">
        <v>163</v>
      </c>
      <c r="F1" s="16" t="s">
        <v>164</v>
      </c>
      <c r="G1" s="16" t="s">
        <v>165</v>
      </c>
      <c r="H1" s="16" t="s">
        <v>166</v>
      </c>
      <c r="I1" s="18" t="s">
        <v>155</v>
      </c>
      <c r="J1" s="18" t="s">
        <v>156</v>
      </c>
      <c r="K1" s="19" t="s">
        <v>157</v>
      </c>
      <c r="L1" s="18" t="s">
        <v>158</v>
      </c>
      <c r="M1" s="18" t="s">
        <v>159</v>
      </c>
      <c r="N1" s="18" t="s">
        <v>160</v>
      </c>
      <c r="O1" s="26" t="s">
        <v>143</v>
      </c>
      <c r="P1" s="26"/>
      <c r="Q1" s="26" t="s">
        <v>142</v>
      </c>
    </row>
    <row r="2" spans="1:17">
      <c r="A2" s="4">
        <v>70000</v>
      </c>
      <c r="B2" s="1" t="s">
        <v>4</v>
      </c>
      <c r="C2" s="5">
        <v>1040.8699999999999</v>
      </c>
      <c r="D2" s="5">
        <v>1149.48</v>
      </c>
      <c r="E2" s="5">
        <v>1179.76</v>
      </c>
      <c r="F2" s="5">
        <v>1192.31</v>
      </c>
      <c r="G2" s="5">
        <v>1042.9000000000001</v>
      </c>
      <c r="H2" s="5">
        <v>801.31</v>
      </c>
      <c r="I2" s="5">
        <v>758.92</v>
      </c>
      <c r="J2" s="5">
        <v>1134.21</v>
      </c>
      <c r="K2" s="5">
        <v>958.15</v>
      </c>
      <c r="L2" s="5">
        <v>1122.4100000000001</v>
      </c>
      <c r="M2" s="5">
        <v>1060.6300000000001</v>
      </c>
      <c r="N2" s="5">
        <v>955.21</v>
      </c>
      <c r="O2" s="8">
        <f>SUM(C2:N2)</f>
        <v>12396.159999999996</v>
      </c>
      <c r="P2" s="1">
        <f>+COUNT(C2:N2)</f>
        <v>12</v>
      </c>
      <c r="Q2" s="5">
        <f>+O2/P2</f>
        <v>1033.0133333333331</v>
      </c>
    </row>
    <row r="3" spans="1:17">
      <c r="A3" s="4">
        <v>70001</v>
      </c>
      <c r="B3" s="1" t="s">
        <v>92</v>
      </c>
      <c r="C3" s="5">
        <v>19637.8</v>
      </c>
      <c r="D3" s="5">
        <v>13436.7</v>
      </c>
      <c r="E3" s="5">
        <v>18802.96</v>
      </c>
      <c r="F3" s="5">
        <v>18452.23</v>
      </c>
      <c r="G3" s="5">
        <v>13093.72</v>
      </c>
      <c r="H3" s="5">
        <v>5936.76</v>
      </c>
      <c r="I3" s="6">
        <v>9716.11</v>
      </c>
      <c r="J3" s="5">
        <v>16663.25</v>
      </c>
      <c r="K3" s="5">
        <v>12286.12</v>
      </c>
      <c r="L3" s="5">
        <v>16872.54</v>
      </c>
      <c r="M3" s="5">
        <v>8723.84</v>
      </c>
      <c r="N3" s="5">
        <v>11392.33</v>
      </c>
      <c r="O3" s="8">
        <f t="shared" ref="O3:O66" si="0">SUM(C3:N3)</f>
        <v>165014.35999999999</v>
      </c>
      <c r="P3" s="1">
        <f t="shared" ref="P3:P66" si="1">+COUNT(C3:N3)</f>
        <v>12</v>
      </c>
      <c r="Q3" s="5">
        <f t="shared" ref="Q3:Q66" si="2">+O3/P3</f>
        <v>13751.196666666665</v>
      </c>
    </row>
    <row r="4" spans="1:17">
      <c r="A4" s="4">
        <v>70002</v>
      </c>
      <c r="B4" s="1" t="s">
        <v>6</v>
      </c>
      <c r="C4" s="5">
        <v>2672.14</v>
      </c>
      <c r="D4" s="5">
        <v>2537.6999999999998</v>
      </c>
      <c r="E4" s="5">
        <v>2620.37</v>
      </c>
      <c r="F4" s="5">
        <v>2503.5</v>
      </c>
      <c r="G4" s="5">
        <v>2409.41</v>
      </c>
      <c r="H4" s="5">
        <v>1379.77</v>
      </c>
      <c r="I4" s="5">
        <v>1633.15</v>
      </c>
      <c r="J4" s="5">
        <v>2473.92</v>
      </c>
      <c r="K4" s="5">
        <v>2275</v>
      </c>
      <c r="L4" s="5">
        <v>2360.2399999999998</v>
      </c>
      <c r="M4" s="5">
        <v>2276.96</v>
      </c>
      <c r="N4" s="5">
        <v>2098.59</v>
      </c>
      <c r="O4" s="8">
        <f t="shared" si="0"/>
        <v>27240.749999999996</v>
      </c>
      <c r="P4" s="1">
        <f t="shared" si="1"/>
        <v>12</v>
      </c>
      <c r="Q4" s="5">
        <f t="shared" si="2"/>
        <v>2270.0624999999995</v>
      </c>
    </row>
    <row r="5" spans="1:17">
      <c r="A5" s="4">
        <v>70003</v>
      </c>
      <c r="B5" s="1" t="s">
        <v>7</v>
      </c>
      <c r="C5" s="5">
        <v>1823.06</v>
      </c>
      <c r="D5" s="5">
        <v>1781.09</v>
      </c>
      <c r="E5" s="5">
        <v>1850.75</v>
      </c>
      <c r="F5" s="5">
        <v>1558.49</v>
      </c>
      <c r="G5" s="5">
        <v>1702.22</v>
      </c>
      <c r="H5" s="5">
        <v>1195.07</v>
      </c>
      <c r="I5" s="5">
        <v>1158.99</v>
      </c>
      <c r="J5" s="5">
        <v>1282.45</v>
      </c>
      <c r="K5" s="5">
        <v>1531.59</v>
      </c>
      <c r="L5" s="5">
        <v>1822.18</v>
      </c>
      <c r="M5" s="5">
        <v>1525.11</v>
      </c>
      <c r="N5" s="5">
        <v>1595.65</v>
      </c>
      <c r="O5" s="8">
        <f t="shared" si="0"/>
        <v>18826.650000000001</v>
      </c>
      <c r="P5" s="1">
        <f t="shared" si="1"/>
        <v>12</v>
      </c>
      <c r="Q5" s="5">
        <f t="shared" si="2"/>
        <v>1568.8875</v>
      </c>
    </row>
    <row r="6" spans="1:17">
      <c r="A6" s="4">
        <v>70004</v>
      </c>
      <c r="B6" s="1" t="s">
        <v>8</v>
      </c>
      <c r="C6" s="5">
        <v>1173.4000000000001</v>
      </c>
      <c r="D6" s="5">
        <v>1198.29</v>
      </c>
      <c r="E6" s="5">
        <v>1178.1099999999999</v>
      </c>
      <c r="F6" s="5">
        <v>1373.7</v>
      </c>
      <c r="G6" s="5">
        <v>796.09</v>
      </c>
      <c r="H6" s="5">
        <v>1978.89</v>
      </c>
      <c r="I6" s="5">
        <v>120.38</v>
      </c>
      <c r="J6" s="5">
        <v>51.01</v>
      </c>
      <c r="O6" s="8">
        <f t="shared" si="0"/>
        <v>7869.8700000000008</v>
      </c>
      <c r="P6" s="1">
        <f t="shared" si="1"/>
        <v>8</v>
      </c>
      <c r="Q6" s="5">
        <f t="shared" si="2"/>
        <v>983.7337500000001</v>
      </c>
    </row>
    <row r="7" spans="1:17">
      <c r="A7" s="4">
        <v>70006</v>
      </c>
      <c r="B7" s="1" t="s">
        <v>9</v>
      </c>
      <c r="C7" s="5">
        <v>3121.38</v>
      </c>
      <c r="D7" s="5">
        <v>2553.1999999999998</v>
      </c>
      <c r="E7" s="5">
        <v>2127.04</v>
      </c>
      <c r="F7" s="5">
        <v>2989.53</v>
      </c>
      <c r="G7" s="5">
        <v>2003.68</v>
      </c>
      <c r="H7" s="5">
        <v>1668.47</v>
      </c>
      <c r="I7" s="5">
        <v>1562.73</v>
      </c>
      <c r="J7" s="5">
        <v>2634.64</v>
      </c>
      <c r="K7" s="5">
        <v>2608.34</v>
      </c>
      <c r="L7" s="5">
        <v>3184.75</v>
      </c>
      <c r="M7" s="5">
        <v>2750.9</v>
      </c>
      <c r="N7" s="5">
        <v>2547.9</v>
      </c>
      <c r="O7" s="8">
        <f t="shared" si="0"/>
        <v>29752.560000000001</v>
      </c>
      <c r="P7" s="1">
        <f t="shared" si="1"/>
        <v>12</v>
      </c>
      <c r="Q7" s="5">
        <f t="shared" si="2"/>
        <v>2479.38</v>
      </c>
    </row>
    <row r="8" spans="1:17">
      <c r="A8" s="4">
        <v>70007</v>
      </c>
      <c r="B8" s="1" t="s">
        <v>10</v>
      </c>
      <c r="C8" s="5">
        <v>336</v>
      </c>
      <c r="D8" s="5">
        <v>300</v>
      </c>
      <c r="E8" s="5">
        <v>336</v>
      </c>
      <c r="F8" s="5">
        <v>312</v>
      </c>
      <c r="G8" s="5">
        <v>250</v>
      </c>
      <c r="H8" s="5">
        <v>228</v>
      </c>
      <c r="I8" s="5">
        <v>216</v>
      </c>
      <c r="J8" s="5">
        <v>222</v>
      </c>
      <c r="K8" s="5">
        <v>231</v>
      </c>
      <c r="L8" s="5">
        <v>246</v>
      </c>
      <c r="M8" s="5">
        <v>255</v>
      </c>
      <c r="N8" s="5">
        <v>267</v>
      </c>
      <c r="O8" s="8">
        <f t="shared" si="0"/>
        <v>3199</v>
      </c>
      <c r="P8" s="1">
        <f t="shared" si="1"/>
        <v>12</v>
      </c>
      <c r="Q8" s="5">
        <f t="shared" si="2"/>
        <v>266.58333333333331</v>
      </c>
    </row>
    <row r="9" spans="1:17">
      <c r="A9" s="4">
        <v>70008</v>
      </c>
      <c r="B9" s="1" t="s">
        <v>11</v>
      </c>
      <c r="C9" s="5">
        <v>2696.7</v>
      </c>
      <c r="D9" s="5">
        <v>2285.88</v>
      </c>
      <c r="E9" s="5">
        <v>2005.62</v>
      </c>
      <c r="F9" s="5">
        <v>2731.44</v>
      </c>
      <c r="G9" s="5">
        <v>1497.66</v>
      </c>
      <c r="H9" s="5">
        <v>1438.8</v>
      </c>
      <c r="I9" s="5">
        <v>1212.72</v>
      </c>
      <c r="J9" s="5">
        <v>2017.08</v>
      </c>
      <c r="K9" s="5">
        <v>2629.13</v>
      </c>
      <c r="L9" s="5">
        <v>2480.0300000000002</v>
      </c>
      <c r="M9" s="5">
        <v>1969.44</v>
      </c>
      <c r="N9" s="5">
        <v>2068.5</v>
      </c>
      <c r="O9" s="8">
        <f t="shared" si="0"/>
        <v>25032.999999999996</v>
      </c>
      <c r="P9" s="1">
        <f t="shared" si="1"/>
        <v>12</v>
      </c>
      <c r="Q9" s="5">
        <f t="shared" si="2"/>
        <v>2086.083333333333</v>
      </c>
    </row>
    <row r="10" spans="1:17">
      <c r="A10" s="4" t="s">
        <v>12</v>
      </c>
      <c r="B10" s="1" t="s">
        <v>13</v>
      </c>
      <c r="C10" s="5">
        <v>3708.11</v>
      </c>
      <c r="D10" s="5">
        <v>2634.76</v>
      </c>
      <c r="E10" s="5">
        <v>5277.65</v>
      </c>
      <c r="F10" s="5">
        <v>5147.3999999999996</v>
      </c>
      <c r="G10" s="5">
        <v>4740.84</v>
      </c>
      <c r="H10" s="5">
        <v>2773.8</v>
      </c>
      <c r="I10" s="5">
        <v>1693.43</v>
      </c>
      <c r="J10" s="5">
        <v>3599.44</v>
      </c>
      <c r="K10" s="5">
        <v>3108</v>
      </c>
      <c r="L10" s="5">
        <v>5788.03</v>
      </c>
      <c r="M10" s="5">
        <v>5469.93</v>
      </c>
      <c r="N10" s="5">
        <v>3599.73</v>
      </c>
      <c r="O10" s="8">
        <f t="shared" si="0"/>
        <v>47541.120000000003</v>
      </c>
      <c r="P10" s="1">
        <f t="shared" si="1"/>
        <v>12</v>
      </c>
      <c r="Q10" s="5">
        <f t="shared" si="2"/>
        <v>3961.76</v>
      </c>
    </row>
    <row r="11" spans="1:17">
      <c r="A11" s="4">
        <v>70014</v>
      </c>
      <c r="B11" s="1" t="s">
        <v>14</v>
      </c>
      <c r="C11" s="5">
        <v>14067.33</v>
      </c>
      <c r="D11" s="5">
        <v>13045.35</v>
      </c>
      <c r="E11" s="5">
        <v>11254.98</v>
      </c>
      <c r="F11" s="5">
        <v>15438.44</v>
      </c>
      <c r="G11" s="5">
        <v>10628.01</v>
      </c>
      <c r="H11" s="5">
        <v>9490.25</v>
      </c>
      <c r="I11" s="5">
        <v>8908.84</v>
      </c>
      <c r="J11" s="5">
        <v>9823.66</v>
      </c>
      <c r="K11" s="5">
        <v>12541.43</v>
      </c>
      <c r="L11" s="5">
        <v>14418.41</v>
      </c>
      <c r="M11" s="5">
        <v>12395.98</v>
      </c>
      <c r="N11" s="5">
        <v>12807.66</v>
      </c>
      <c r="O11" s="8">
        <f t="shared" si="0"/>
        <v>144820.34000000003</v>
      </c>
      <c r="P11" s="1">
        <f t="shared" si="1"/>
        <v>12</v>
      </c>
      <c r="Q11" s="5">
        <f t="shared" si="2"/>
        <v>12068.361666666669</v>
      </c>
    </row>
    <row r="12" spans="1:17">
      <c r="A12" s="4" t="s">
        <v>73</v>
      </c>
      <c r="B12" s="1" t="s">
        <v>63</v>
      </c>
      <c r="C12" s="5">
        <v>6599.58</v>
      </c>
      <c r="D12" s="5">
        <v>5315.66</v>
      </c>
      <c r="E12" s="5">
        <v>6256.4</v>
      </c>
      <c r="F12" s="5">
        <v>10978.61</v>
      </c>
      <c r="G12" s="5">
        <v>4553.4799999999996</v>
      </c>
      <c r="H12" s="5">
        <v>3684.67</v>
      </c>
      <c r="I12" s="5">
        <v>3428.62</v>
      </c>
      <c r="J12" s="5">
        <v>5145.42</v>
      </c>
      <c r="K12" s="5">
        <v>7204.85</v>
      </c>
      <c r="L12" s="5">
        <v>8788.0400000000009</v>
      </c>
      <c r="M12" s="5">
        <v>9944.49</v>
      </c>
      <c r="N12" s="5">
        <v>8899.4599999999991</v>
      </c>
      <c r="O12" s="8">
        <f t="shared" si="0"/>
        <v>80799.28</v>
      </c>
      <c r="P12" s="1">
        <f t="shared" si="1"/>
        <v>12</v>
      </c>
      <c r="Q12" s="5">
        <f t="shared" si="2"/>
        <v>6733.2733333333335</v>
      </c>
    </row>
    <row r="13" spans="1:17">
      <c r="A13" s="4" t="s">
        <v>75</v>
      </c>
      <c r="B13" s="1" t="s">
        <v>74</v>
      </c>
      <c r="C13" s="5">
        <v>10710.42</v>
      </c>
      <c r="D13" s="5">
        <v>15173.64</v>
      </c>
      <c r="E13" s="5">
        <v>12623.52</v>
      </c>
      <c r="F13" s="5">
        <v>14877.84</v>
      </c>
      <c r="G13" s="5">
        <v>10649.58</v>
      </c>
      <c r="H13" s="5">
        <v>5012.9399999999996</v>
      </c>
      <c r="I13" s="5">
        <v>7316.58</v>
      </c>
      <c r="J13" s="5">
        <v>10001.4</v>
      </c>
      <c r="K13" s="5">
        <v>11798.7</v>
      </c>
      <c r="L13" s="5">
        <v>14070.12</v>
      </c>
      <c r="M13" s="5">
        <v>15124.56</v>
      </c>
      <c r="N13" s="5">
        <v>14871.6</v>
      </c>
      <c r="O13" s="8">
        <f t="shared" si="0"/>
        <v>142230.9</v>
      </c>
      <c r="P13" s="1">
        <f t="shared" si="1"/>
        <v>12</v>
      </c>
      <c r="Q13" s="5">
        <f t="shared" si="2"/>
        <v>11852.574999999999</v>
      </c>
    </row>
    <row r="14" spans="1:17">
      <c r="A14" s="4">
        <v>70017</v>
      </c>
      <c r="B14" s="1" t="s">
        <v>15</v>
      </c>
      <c r="C14" s="5">
        <v>29250.799999999999</v>
      </c>
      <c r="D14" s="5">
        <v>26599.93</v>
      </c>
      <c r="E14" s="5">
        <v>28172.92</v>
      </c>
      <c r="F14" s="5">
        <v>33308.92</v>
      </c>
      <c r="G14" s="5">
        <v>25420.38</v>
      </c>
      <c r="H14" s="5">
        <v>22063.71</v>
      </c>
      <c r="I14" s="5">
        <v>21186.97</v>
      </c>
      <c r="J14" s="5">
        <v>22655.03</v>
      </c>
      <c r="K14" s="5">
        <v>25850.240000000002</v>
      </c>
      <c r="L14" s="5">
        <v>31053.25</v>
      </c>
      <c r="M14" s="5">
        <v>29274.15</v>
      </c>
      <c r="N14" s="5">
        <v>26690.01</v>
      </c>
      <c r="O14" s="8">
        <f t="shared" si="0"/>
        <v>321526.31</v>
      </c>
      <c r="P14" s="1">
        <f t="shared" si="1"/>
        <v>12</v>
      </c>
      <c r="Q14" s="5">
        <f t="shared" si="2"/>
        <v>26793.859166666665</v>
      </c>
    </row>
    <row r="15" spans="1:17">
      <c r="A15" s="4">
        <v>70018</v>
      </c>
      <c r="B15" s="1" t="s">
        <v>16</v>
      </c>
      <c r="C15" s="5">
        <v>31219.5</v>
      </c>
      <c r="D15" s="5">
        <v>30219.31</v>
      </c>
      <c r="E15" s="5">
        <v>27802.2</v>
      </c>
      <c r="F15" s="5">
        <v>32318.39</v>
      </c>
      <c r="G15" s="5">
        <v>28476.35</v>
      </c>
      <c r="H15" s="5">
        <v>14566.92</v>
      </c>
      <c r="I15" s="5">
        <v>16323.9</v>
      </c>
      <c r="J15" s="5">
        <v>23619.71</v>
      </c>
      <c r="K15" s="5">
        <v>25251.360000000001</v>
      </c>
      <c r="L15" s="5">
        <v>34819.71</v>
      </c>
      <c r="M15" s="5">
        <v>34540.42</v>
      </c>
      <c r="N15" s="5">
        <v>30848.93</v>
      </c>
      <c r="O15" s="8">
        <f t="shared" si="0"/>
        <v>330006.7</v>
      </c>
      <c r="P15" s="1">
        <f t="shared" si="1"/>
        <v>12</v>
      </c>
      <c r="Q15" s="5">
        <f t="shared" si="2"/>
        <v>27500.558333333334</v>
      </c>
    </row>
    <row r="16" spans="1:17">
      <c r="A16" s="4">
        <v>70019</v>
      </c>
      <c r="B16" s="1" t="s">
        <v>17</v>
      </c>
      <c r="C16" s="5">
        <v>10376.709999999999</v>
      </c>
      <c r="D16" s="5">
        <v>8098.45</v>
      </c>
      <c r="E16" s="5">
        <v>6150.98</v>
      </c>
      <c r="F16" s="5">
        <v>10111.200000000001</v>
      </c>
      <c r="G16" s="5">
        <v>5155.62</v>
      </c>
      <c r="H16" s="5">
        <v>4290.54</v>
      </c>
      <c r="I16" s="5">
        <v>4622.34</v>
      </c>
      <c r="J16" s="5">
        <v>10227.02</v>
      </c>
      <c r="K16" s="5">
        <v>10081.25</v>
      </c>
      <c r="L16" s="5">
        <v>11333.31</v>
      </c>
      <c r="M16" s="5">
        <v>10360.34</v>
      </c>
      <c r="N16" s="5">
        <v>9173.5300000000007</v>
      </c>
      <c r="O16" s="8">
        <f t="shared" si="0"/>
        <v>99981.29</v>
      </c>
      <c r="P16" s="1">
        <f t="shared" si="1"/>
        <v>12</v>
      </c>
      <c r="Q16" s="5">
        <f t="shared" si="2"/>
        <v>8331.7741666666661</v>
      </c>
    </row>
    <row r="17" spans="1:17">
      <c r="A17" s="4">
        <v>70020</v>
      </c>
      <c r="B17" s="1" t="s">
        <v>18</v>
      </c>
      <c r="C17" s="5">
        <v>8332.74</v>
      </c>
      <c r="D17" s="5">
        <v>6648.53</v>
      </c>
      <c r="E17" s="5">
        <v>8027.98</v>
      </c>
      <c r="F17" s="5">
        <v>8573.59</v>
      </c>
      <c r="G17" s="5">
        <v>5565.35</v>
      </c>
      <c r="H17" s="5">
        <v>5379.05</v>
      </c>
      <c r="I17" s="5">
        <v>3199.57</v>
      </c>
      <c r="J17" s="5">
        <v>7150.7</v>
      </c>
      <c r="K17" s="5">
        <v>8533.9</v>
      </c>
      <c r="L17" s="5">
        <v>7168.7</v>
      </c>
      <c r="M17" s="5">
        <v>6913.12</v>
      </c>
      <c r="N17" s="5">
        <v>8945.9500000000007</v>
      </c>
      <c r="O17" s="8">
        <f t="shared" si="0"/>
        <v>84439.18</v>
      </c>
      <c r="P17" s="1">
        <f t="shared" si="1"/>
        <v>12</v>
      </c>
      <c r="Q17" s="5">
        <f t="shared" si="2"/>
        <v>7036.5983333333324</v>
      </c>
    </row>
    <row r="18" spans="1:17">
      <c r="A18" s="4">
        <v>70021</v>
      </c>
      <c r="B18" s="1" t="s">
        <v>60</v>
      </c>
      <c r="C18" s="5">
        <v>35437.58</v>
      </c>
      <c r="D18" s="5">
        <v>21826.5</v>
      </c>
      <c r="E18" s="5">
        <v>35240.980000000003</v>
      </c>
      <c r="F18" s="5">
        <v>46626.3</v>
      </c>
      <c r="G18" s="5">
        <v>32717</v>
      </c>
      <c r="H18" s="5">
        <v>23977.62</v>
      </c>
      <c r="I18" s="5">
        <v>17108.46</v>
      </c>
      <c r="J18" s="5">
        <v>32624.880000000001</v>
      </c>
      <c r="K18" s="5">
        <v>33987.99</v>
      </c>
      <c r="L18" s="5">
        <v>39281.760000000002</v>
      </c>
      <c r="M18" s="5">
        <v>37358.04</v>
      </c>
      <c r="N18" s="5">
        <v>26024.76</v>
      </c>
      <c r="O18" s="8">
        <f t="shared" si="0"/>
        <v>382211.87</v>
      </c>
      <c r="P18" s="1">
        <f t="shared" si="1"/>
        <v>12</v>
      </c>
      <c r="Q18" s="5">
        <f t="shared" si="2"/>
        <v>31850.989166666666</v>
      </c>
    </row>
    <row r="19" spans="1:17">
      <c r="A19" s="4">
        <v>70022</v>
      </c>
      <c r="B19" s="1" t="s">
        <v>19</v>
      </c>
      <c r="C19" s="5">
        <v>708.8</v>
      </c>
      <c r="D19" s="5">
        <v>1110.3599999999999</v>
      </c>
      <c r="E19" s="5">
        <v>1231.8499999999999</v>
      </c>
      <c r="F19" s="5">
        <v>1322.99</v>
      </c>
      <c r="G19" s="5">
        <v>880.76</v>
      </c>
      <c r="H19" s="5">
        <v>523.03</v>
      </c>
      <c r="I19" s="5">
        <v>643.45000000000005</v>
      </c>
      <c r="J19" s="5">
        <v>633.58000000000004</v>
      </c>
      <c r="K19" s="5">
        <v>1155.79</v>
      </c>
      <c r="L19" s="5">
        <v>1781.46</v>
      </c>
      <c r="M19" s="5">
        <v>1400.39</v>
      </c>
      <c r="N19" s="5">
        <v>1107.52</v>
      </c>
      <c r="O19" s="8">
        <f t="shared" si="0"/>
        <v>12499.98</v>
      </c>
      <c r="P19" s="1">
        <f t="shared" si="1"/>
        <v>12</v>
      </c>
      <c r="Q19" s="5">
        <f t="shared" si="2"/>
        <v>1041.665</v>
      </c>
    </row>
    <row r="20" spans="1:17">
      <c r="A20" s="4">
        <v>70023</v>
      </c>
      <c r="B20" s="1" t="s">
        <v>20</v>
      </c>
      <c r="C20" s="5">
        <v>1822.26</v>
      </c>
      <c r="D20" s="5">
        <v>120.78</v>
      </c>
      <c r="E20" s="5">
        <v>1453.26</v>
      </c>
      <c r="F20" s="5">
        <v>2414.58</v>
      </c>
      <c r="G20" s="5">
        <v>2549.88</v>
      </c>
      <c r="H20" s="5">
        <v>1974.18</v>
      </c>
      <c r="I20" s="5">
        <v>2291.1</v>
      </c>
      <c r="J20" s="5">
        <v>2457.96</v>
      </c>
      <c r="K20" s="5">
        <v>2373.04</v>
      </c>
      <c r="L20" s="5">
        <v>1828.74</v>
      </c>
      <c r="M20" s="5">
        <v>1810.14</v>
      </c>
      <c r="N20" s="5">
        <v>1847.76</v>
      </c>
      <c r="O20" s="8">
        <f t="shared" si="0"/>
        <v>22943.68</v>
      </c>
      <c r="P20" s="1">
        <f t="shared" si="1"/>
        <v>12</v>
      </c>
      <c r="Q20" s="5">
        <f t="shared" si="2"/>
        <v>1911.9733333333334</v>
      </c>
    </row>
    <row r="21" spans="1:17">
      <c r="A21" s="4" t="s">
        <v>66</v>
      </c>
      <c r="B21" s="1" t="s">
        <v>21</v>
      </c>
      <c r="C21" s="5">
        <v>4975</v>
      </c>
      <c r="D21" s="5">
        <v>5562</v>
      </c>
      <c r="E21" s="5">
        <v>4513</v>
      </c>
      <c r="F21" s="5">
        <v>4094</v>
      </c>
      <c r="G21" s="5">
        <v>2862</v>
      </c>
      <c r="H21" s="5">
        <v>2080</v>
      </c>
      <c r="I21" s="5">
        <v>1982</v>
      </c>
      <c r="J21" s="5">
        <v>3448</v>
      </c>
      <c r="K21" s="5">
        <v>3389</v>
      </c>
      <c r="L21" s="5">
        <v>57324.27</v>
      </c>
      <c r="M21" s="5">
        <v>5774</v>
      </c>
      <c r="N21" s="5">
        <v>5305</v>
      </c>
      <c r="O21" s="8">
        <f t="shared" si="0"/>
        <v>101308.26999999999</v>
      </c>
      <c r="P21" s="1">
        <f t="shared" si="1"/>
        <v>12</v>
      </c>
      <c r="Q21" s="5">
        <f t="shared" si="2"/>
        <v>8442.3558333333331</v>
      </c>
    </row>
    <row r="22" spans="1:17">
      <c r="A22" s="4">
        <v>70026</v>
      </c>
      <c r="B22" s="1" t="s">
        <v>22</v>
      </c>
      <c r="C22" s="5">
        <v>10230.83</v>
      </c>
      <c r="D22" s="5">
        <v>10877.86</v>
      </c>
      <c r="E22" s="5">
        <v>9941.15</v>
      </c>
      <c r="F22" s="5">
        <v>9299.19</v>
      </c>
      <c r="H22" s="5">
        <v>2836.76</v>
      </c>
      <c r="I22" s="5">
        <v>3525.44</v>
      </c>
      <c r="J22" s="5">
        <v>5117.41</v>
      </c>
      <c r="K22" s="5">
        <v>5418.31</v>
      </c>
      <c r="L22" s="5">
        <v>8951.77</v>
      </c>
      <c r="M22" s="5">
        <v>10935.5</v>
      </c>
      <c r="N22" s="5">
        <v>10849.82</v>
      </c>
      <c r="O22" s="8">
        <f t="shared" si="0"/>
        <v>87984.040000000008</v>
      </c>
      <c r="P22" s="1">
        <f t="shared" si="1"/>
        <v>11</v>
      </c>
      <c r="Q22" s="5">
        <f t="shared" si="2"/>
        <v>7998.5490909090913</v>
      </c>
    </row>
    <row r="23" spans="1:17">
      <c r="A23" s="4">
        <v>70027</v>
      </c>
      <c r="B23" s="1" t="s">
        <v>23</v>
      </c>
      <c r="C23" s="5">
        <v>815.33</v>
      </c>
      <c r="D23" s="5">
        <v>889.13</v>
      </c>
      <c r="E23" s="5">
        <v>852.97</v>
      </c>
      <c r="F23" s="5">
        <v>778.41</v>
      </c>
      <c r="G23" s="5">
        <v>841.81</v>
      </c>
      <c r="H23" s="5">
        <v>570.82000000000005</v>
      </c>
      <c r="I23" s="5">
        <v>924.46</v>
      </c>
      <c r="J23" s="5">
        <v>745.14</v>
      </c>
      <c r="K23" s="5">
        <v>786.82</v>
      </c>
      <c r="L23" s="5">
        <v>723.41</v>
      </c>
      <c r="M23" s="5">
        <v>840.95</v>
      </c>
      <c r="N23" s="5">
        <v>809.61</v>
      </c>
      <c r="O23" s="8">
        <f t="shared" si="0"/>
        <v>9578.86</v>
      </c>
      <c r="P23" s="1">
        <f t="shared" si="1"/>
        <v>12</v>
      </c>
      <c r="Q23" s="5">
        <f t="shared" si="2"/>
        <v>798.23833333333334</v>
      </c>
    </row>
    <row r="24" spans="1:17">
      <c r="A24" s="4" t="s">
        <v>78</v>
      </c>
      <c r="B24" s="1" t="s">
        <v>77</v>
      </c>
      <c r="C24" s="5">
        <v>2009.52</v>
      </c>
      <c r="D24" s="5">
        <v>2057.35</v>
      </c>
      <c r="E24" s="5">
        <v>1838.88</v>
      </c>
      <c r="F24" s="5">
        <v>2703.88</v>
      </c>
      <c r="G24" s="5">
        <v>2259.37</v>
      </c>
      <c r="H24" s="5">
        <v>1679.92</v>
      </c>
      <c r="I24" s="5">
        <v>1553.02</v>
      </c>
      <c r="J24" s="5">
        <v>2277.5</v>
      </c>
      <c r="K24" s="5">
        <v>2106.81</v>
      </c>
      <c r="L24" s="5">
        <v>2755.27</v>
      </c>
      <c r="M24" s="5">
        <v>2151.5</v>
      </c>
      <c r="N24" s="5">
        <v>2074.59</v>
      </c>
      <c r="O24" s="8">
        <f t="shared" si="0"/>
        <v>25467.61</v>
      </c>
      <c r="P24" s="1">
        <f t="shared" si="1"/>
        <v>12</v>
      </c>
      <c r="Q24" s="5">
        <f t="shared" si="2"/>
        <v>2122.3008333333332</v>
      </c>
    </row>
    <row r="25" spans="1:17">
      <c r="A25" s="4" t="s">
        <v>68</v>
      </c>
      <c r="B25" s="1" t="s">
        <v>24</v>
      </c>
      <c r="C25" s="5">
        <v>2781.21</v>
      </c>
      <c r="D25" s="5">
        <v>2473.06</v>
      </c>
      <c r="E25" s="5">
        <v>1784.17</v>
      </c>
      <c r="F25" s="5">
        <v>2604.7199999999998</v>
      </c>
      <c r="G25" s="5">
        <v>1816.61</v>
      </c>
      <c r="H25" s="5">
        <v>1552.73</v>
      </c>
      <c r="I25" s="5">
        <v>1173.4100000000001</v>
      </c>
      <c r="J25" s="5">
        <v>1597.38</v>
      </c>
      <c r="K25" s="5">
        <v>2230.84</v>
      </c>
      <c r="L25" s="5">
        <v>2385.86</v>
      </c>
      <c r="M25" s="5">
        <v>2318.12</v>
      </c>
      <c r="N25" s="5">
        <v>1723.28</v>
      </c>
      <c r="O25" s="8">
        <f t="shared" si="0"/>
        <v>24441.39</v>
      </c>
      <c r="P25" s="1">
        <f t="shared" si="1"/>
        <v>12</v>
      </c>
      <c r="Q25" s="5">
        <f t="shared" si="2"/>
        <v>2036.7825</v>
      </c>
    </row>
    <row r="26" spans="1:17">
      <c r="A26" s="4">
        <v>70030</v>
      </c>
      <c r="B26" s="1" t="s">
        <v>81</v>
      </c>
      <c r="C26" s="5">
        <v>52847.09</v>
      </c>
      <c r="D26" s="5">
        <v>77741.75</v>
      </c>
      <c r="E26" s="5">
        <v>39047.760000000002</v>
      </c>
      <c r="F26" s="5">
        <v>64430.3</v>
      </c>
      <c r="G26" s="5">
        <v>65914.070000000007</v>
      </c>
      <c r="H26" s="5">
        <v>86233.56</v>
      </c>
      <c r="I26" s="5">
        <v>28682.39</v>
      </c>
      <c r="J26" s="5">
        <v>42071.43</v>
      </c>
      <c r="K26" s="5">
        <v>49170.55</v>
      </c>
      <c r="L26" s="5">
        <v>57324.27</v>
      </c>
      <c r="M26" s="5">
        <v>73029.89</v>
      </c>
      <c r="N26" s="5">
        <v>52751.99</v>
      </c>
      <c r="O26" s="8">
        <f t="shared" si="0"/>
        <v>689245.05</v>
      </c>
      <c r="P26" s="1">
        <f t="shared" si="1"/>
        <v>12</v>
      </c>
      <c r="Q26" s="5">
        <f t="shared" si="2"/>
        <v>57437.087500000001</v>
      </c>
    </row>
    <row r="27" spans="1:17">
      <c r="A27" s="4" t="s">
        <v>26</v>
      </c>
      <c r="B27" s="1" t="s">
        <v>25</v>
      </c>
      <c r="C27" s="5">
        <v>1632.73</v>
      </c>
      <c r="D27" s="5">
        <v>1509.7</v>
      </c>
      <c r="E27" s="5">
        <v>1427.45</v>
      </c>
      <c r="F27" s="5">
        <v>1403.73</v>
      </c>
      <c r="G27" s="5">
        <v>1069.73</v>
      </c>
      <c r="H27" s="5">
        <v>775.11</v>
      </c>
      <c r="I27" s="5">
        <v>762</v>
      </c>
      <c r="J27" s="5">
        <v>882.79</v>
      </c>
      <c r="K27" s="5">
        <v>1612.09</v>
      </c>
      <c r="L27" s="5">
        <v>1667.56</v>
      </c>
      <c r="M27" s="5">
        <v>1647.2</v>
      </c>
      <c r="N27" s="5">
        <v>1344.43</v>
      </c>
      <c r="O27" s="8">
        <f t="shared" si="0"/>
        <v>15734.520000000002</v>
      </c>
      <c r="P27" s="1">
        <f t="shared" si="1"/>
        <v>12</v>
      </c>
      <c r="Q27" s="5">
        <f t="shared" si="2"/>
        <v>1311.2100000000003</v>
      </c>
    </row>
    <row r="28" spans="1:17">
      <c r="A28" s="4">
        <v>70032</v>
      </c>
      <c r="B28" s="1" t="s">
        <v>11</v>
      </c>
      <c r="C28" s="5">
        <v>4161.87</v>
      </c>
      <c r="D28" s="5">
        <v>3583.25</v>
      </c>
      <c r="E28" s="5">
        <v>3831.35</v>
      </c>
      <c r="F28" s="5">
        <v>4801.6099999999997</v>
      </c>
      <c r="G28" s="5">
        <v>3375.12</v>
      </c>
      <c r="H28" s="5">
        <v>1937.78</v>
      </c>
      <c r="I28" s="5">
        <v>2144.42</v>
      </c>
      <c r="J28" s="5">
        <v>3562.65</v>
      </c>
      <c r="K28" s="5">
        <v>3629.01</v>
      </c>
      <c r="L28" s="5">
        <v>4899.21</v>
      </c>
      <c r="M28" s="5">
        <v>3773.35</v>
      </c>
      <c r="N28" s="5">
        <v>3999.79</v>
      </c>
      <c r="O28" s="8">
        <f t="shared" si="0"/>
        <v>43699.409999999996</v>
      </c>
      <c r="P28" s="1">
        <f t="shared" si="1"/>
        <v>12</v>
      </c>
      <c r="Q28" s="5">
        <f t="shared" si="2"/>
        <v>3641.6174999999998</v>
      </c>
    </row>
    <row r="29" spans="1:17">
      <c r="A29" s="4">
        <v>70034</v>
      </c>
      <c r="B29" s="1" t="s">
        <v>27</v>
      </c>
      <c r="C29" s="5">
        <v>1407.3</v>
      </c>
      <c r="D29" s="5"/>
      <c r="E29" s="5"/>
      <c r="K29" s="5"/>
      <c r="O29" s="8">
        <f t="shared" si="0"/>
        <v>1407.3</v>
      </c>
      <c r="P29" s="1">
        <f t="shared" si="1"/>
        <v>1</v>
      </c>
      <c r="Q29" s="5">
        <f t="shared" si="2"/>
        <v>1407.3</v>
      </c>
    </row>
    <row r="30" spans="1:17">
      <c r="A30" s="4">
        <v>70035</v>
      </c>
      <c r="B30" s="1" t="s">
        <v>28</v>
      </c>
      <c r="C30" s="5">
        <v>31663.9</v>
      </c>
      <c r="D30" s="5">
        <v>25470.34</v>
      </c>
      <c r="E30" s="5">
        <v>28725.19</v>
      </c>
      <c r="F30" s="5">
        <v>41636.28</v>
      </c>
      <c r="G30" s="5">
        <v>28321.23</v>
      </c>
      <c r="H30" s="5">
        <v>25246.81</v>
      </c>
      <c r="I30" s="5">
        <v>22115.97</v>
      </c>
      <c r="J30" s="5">
        <v>29814.15</v>
      </c>
      <c r="K30" s="5">
        <v>32157.82</v>
      </c>
      <c r="L30" s="5">
        <v>39466.36</v>
      </c>
      <c r="M30" s="5">
        <v>36501.18</v>
      </c>
      <c r="N30" s="5">
        <v>30357.39</v>
      </c>
      <c r="O30" s="8">
        <f t="shared" si="0"/>
        <v>371476.62</v>
      </c>
      <c r="P30" s="1">
        <f t="shared" si="1"/>
        <v>12</v>
      </c>
      <c r="Q30" s="5">
        <f t="shared" si="2"/>
        <v>30956.384999999998</v>
      </c>
    </row>
    <row r="31" spans="1:17">
      <c r="A31" s="4">
        <v>70037</v>
      </c>
      <c r="B31" s="1" t="s">
        <v>29</v>
      </c>
      <c r="C31" s="5">
        <v>6488.4</v>
      </c>
      <c r="D31" s="5">
        <v>6059.85</v>
      </c>
      <c r="E31" s="5">
        <v>5412.28</v>
      </c>
      <c r="F31" s="5">
        <v>6762.09</v>
      </c>
      <c r="G31" s="5">
        <v>4525.1899999999996</v>
      </c>
      <c r="H31" s="5">
        <v>3691.76</v>
      </c>
      <c r="I31" s="5">
        <v>3958.85</v>
      </c>
      <c r="J31" s="5">
        <v>4606.09</v>
      </c>
      <c r="K31" s="5">
        <v>5296.96</v>
      </c>
      <c r="L31" s="5">
        <v>6516.81</v>
      </c>
      <c r="M31" s="5">
        <v>6190.22</v>
      </c>
      <c r="N31" s="5">
        <v>6111.39</v>
      </c>
      <c r="O31" s="8">
        <f t="shared" si="0"/>
        <v>65619.89</v>
      </c>
      <c r="P31" s="1">
        <f t="shared" si="1"/>
        <v>12</v>
      </c>
      <c r="Q31" s="5">
        <f t="shared" si="2"/>
        <v>5468.3241666666663</v>
      </c>
    </row>
    <row r="32" spans="1:17">
      <c r="A32" s="4">
        <v>70038</v>
      </c>
      <c r="B32" s="1" t="s">
        <v>30</v>
      </c>
      <c r="C32" s="5">
        <v>9366.2900000000009</v>
      </c>
      <c r="D32" s="5">
        <v>8606.5499999999993</v>
      </c>
      <c r="E32" s="5">
        <v>9006.57</v>
      </c>
      <c r="F32" s="5">
        <v>9693.4500000000007</v>
      </c>
      <c r="G32" s="5">
        <v>7794.34</v>
      </c>
      <c r="H32" s="5">
        <v>6689.27</v>
      </c>
      <c r="I32" s="5">
        <v>7191.83</v>
      </c>
      <c r="J32" s="5">
        <v>7878.91</v>
      </c>
      <c r="K32" s="5">
        <v>8152</v>
      </c>
      <c r="L32" s="5">
        <v>8738.7000000000007</v>
      </c>
      <c r="M32" s="5">
        <v>8064.65</v>
      </c>
      <c r="N32" s="5">
        <v>7983.15</v>
      </c>
      <c r="O32" s="8">
        <f t="shared" si="0"/>
        <v>99165.709999999992</v>
      </c>
      <c r="P32" s="1">
        <f t="shared" si="1"/>
        <v>12</v>
      </c>
      <c r="Q32" s="5">
        <f t="shared" si="2"/>
        <v>8263.809166666666</v>
      </c>
    </row>
    <row r="33" spans="1:17">
      <c r="A33" s="4" t="s">
        <v>71</v>
      </c>
      <c r="B33" s="1" t="s">
        <v>31</v>
      </c>
      <c r="C33" s="5">
        <v>8858</v>
      </c>
      <c r="D33" s="5">
        <v>7685</v>
      </c>
      <c r="E33" s="5">
        <v>5916</v>
      </c>
      <c r="F33" s="5">
        <v>8633</v>
      </c>
      <c r="G33" s="5">
        <v>4936</v>
      </c>
      <c r="H33" s="5">
        <v>2910</v>
      </c>
      <c r="I33" s="5">
        <v>2968</v>
      </c>
      <c r="J33" s="5">
        <v>5671</v>
      </c>
      <c r="K33" s="5">
        <v>6415</v>
      </c>
      <c r="L33" s="5">
        <v>8421</v>
      </c>
      <c r="M33" s="5">
        <v>7877</v>
      </c>
      <c r="N33" s="5">
        <v>7163</v>
      </c>
      <c r="O33" s="8">
        <f t="shared" si="0"/>
        <v>77453</v>
      </c>
      <c r="P33" s="1">
        <f t="shared" si="1"/>
        <v>12</v>
      </c>
      <c r="Q33" s="5">
        <f t="shared" si="2"/>
        <v>6454.416666666667</v>
      </c>
    </row>
    <row r="34" spans="1:17">
      <c r="A34" s="4" t="s">
        <v>86</v>
      </c>
      <c r="B34" s="1" t="s">
        <v>32</v>
      </c>
      <c r="C34" s="5">
        <v>10337.49</v>
      </c>
      <c r="D34" s="5">
        <v>11040.48</v>
      </c>
      <c r="E34" s="5">
        <v>11208.02</v>
      </c>
      <c r="F34" s="5">
        <v>11943.76</v>
      </c>
      <c r="G34" s="5">
        <v>10391.67</v>
      </c>
      <c r="H34" s="5">
        <v>7538.64</v>
      </c>
      <c r="I34" s="5">
        <v>8546.5400000000009</v>
      </c>
      <c r="J34" s="5">
        <v>9349.4500000000007</v>
      </c>
      <c r="K34" s="5">
        <v>10503.88</v>
      </c>
      <c r="L34" s="5">
        <v>11864.15</v>
      </c>
      <c r="M34" s="5">
        <v>11973.41</v>
      </c>
      <c r="N34" s="5">
        <v>10855.88</v>
      </c>
      <c r="O34" s="8">
        <f t="shared" si="0"/>
        <v>125553.37000000001</v>
      </c>
      <c r="P34" s="1">
        <f t="shared" si="1"/>
        <v>12</v>
      </c>
      <c r="Q34" s="5">
        <f t="shared" si="2"/>
        <v>10462.780833333334</v>
      </c>
    </row>
    <row r="35" spans="1:17">
      <c r="A35" s="4">
        <v>70043</v>
      </c>
      <c r="B35" s="1" t="s">
        <v>33</v>
      </c>
      <c r="C35" s="5">
        <v>2222.9299999999998</v>
      </c>
      <c r="D35" s="5">
        <v>1618.16</v>
      </c>
      <c r="E35" s="5">
        <v>1486.53</v>
      </c>
      <c r="F35" s="5">
        <v>2209.88</v>
      </c>
      <c r="G35" s="5">
        <v>1584.23</v>
      </c>
      <c r="H35" s="5">
        <v>1396.79</v>
      </c>
      <c r="I35" s="5">
        <v>132474</v>
      </c>
      <c r="J35" s="5">
        <v>1543.2</v>
      </c>
      <c r="K35" s="5">
        <v>2286.96</v>
      </c>
      <c r="L35" s="5">
        <v>2050.02</v>
      </c>
      <c r="M35" s="5">
        <v>1662.12</v>
      </c>
      <c r="N35" s="5">
        <v>1519.68</v>
      </c>
      <c r="O35" s="8">
        <f t="shared" si="0"/>
        <v>152054.49999999997</v>
      </c>
      <c r="P35" s="1">
        <f t="shared" si="1"/>
        <v>12</v>
      </c>
      <c r="Q35" s="5">
        <f t="shared" si="2"/>
        <v>12671.20833333333</v>
      </c>
    </row>
    <row r="36" spans="1:17">
      <c r="A36" s="4">
        <v>70044</v>
      </c>
      <c r="B36" s="1" t="s">
        <v>34</v>
      </c>
      <c r="C36" s="5">
        <v>9143.19</v>
      </c>
      <c r="D36" s="5">
        <v>7989.89</v>
      </c>
      <c r="E36" s="5">
        <v>6803.76</v>
      </c>
      <c r="F36" s="5">
        <v>9372.57</v>
      </c>
      <c r="G36" s="5">
        <v>6209.11</v>
      </c>
      <c r="H36" s="5">
        <v>4762.47</v>
      </c>
      <c r="I36" s="5">
        <v>4296.63</v>
      </c>
      <c r="J36" s="5">
        <v>6645.11</v>
      </c>
      <c r="K36" s="5">
        <v>7788.48</v>
      </c>
      <c r="L36" s="5">
        <v>9281.8799999999992</v>
      </c>
      <c r="M36" s="5">
        <v>7633.41</v>
      </c>
      <c r="N36" s="5">
        <v>7373.81</v>
      </c>
      <c r="O36" s="8">
        <f t="shared" si="0"/>
        <v>87300.310000000012</v>
      </c>
      <c r="P36" s="1">
        <f t="shared" si="1"/>
        <v>12</v>
      </c>
      <c r="Q36" s="5">
        <f t="shared" si="2"/>
        <v>7275.025833333334</v>
      </c>
    </row>
    <row r="37" spans="1:17">
      <c r="A37" s="4">
        <v>70046</v>
      </c>
      <c r="B37" s="1" t="s">
        <v>35</v>
      </c>
      <c r="C37" s="5">
        <v>1264.8599999999999</v>
      </c>
      <c r="D37" s="5">
        <v>1393.74</v>
      </c>
      <c r="E37" s="5">
        <v>1241.82</v>
      </c>
      <c r="F37" s="5">
        <v>1329.24</v>
      </c>
      <c r="G37" s="5">
        <v>1171.6199999999999</v>
      </c>
      <c r="H37" s="5">
        <v>1009.26</v>
      </c>
      <c r="I37" s="5">
        <v>1129.2</v>
      </c>
      <c r="J37" s="5">
        <v>1194.07</v>
      </c>
      <c r="K37" s="5">
        <v>1285.2</v>
      </c>
      <c r="L37" s="5">
        <v>1276.5</v>
      </c>
      <c r="M37" s="5">
        <v>1415.76</v>
      </c>
      <c r="N37" s="5">
        <v>1278.4100000000001</v>
      </c>
      <c r="O37" s="8">
        <f t="shared" si="0"/>
        <v>14989.68</v>
      </c>
      <c r="P37" s="1">
        <f t="shared" si="1"/>
        <v>12</v>
      </c>
      <c r="Q37" s="5">
        <f t="shared" si="2"/>
        <v>1249.1400000000001</v>
      </c>
    </row>
    <row r="38" spans="1:17">
      <c r="A38" s="4">
        <v>70048</v>
      </c>
      <c r="B38" s="1" t="s">
        <v>36</v>
      </c>
      <c r="C38" s="5">
        <v>2696.46</v>
      </c>
      <c r="D38" s="5">
        <v>2740.8</v>
      </c>
      <c r="E38" s="5">
        <v>3055.16</v>
      </c>
      <c r="F38" s="5">
        <v>3112.79</v>
      </c>
      <c r="G38" s="5">
        <v>2405.7600000000002</v>
      </c>
      <c r="H38" s="5">
        <v>2115.17</v>
      </c>
      <c r="I38" s="5">
        <v>2689.41</v>
      </c>
      <c r="J38" s="5">
        <v>2821.37</v>
      </c>
      <c r="K38" s="5">
        <v>2423.9499999999998</v>
      </c>
      <c r="L38" s="5">
        <v>2820.1</v>
      </c>
      <c r="M38" s="5">
        <v>2790.85</v>
      </c>
      <c r="N38" s="5">
        <v>2535.62</v>
      </c>
      <c r="O38" s="8">
        <f t="shared" si="0"/>
        <v>32207.439999999995</v>
      </c>
      <c r="P38" s="1">
        <f t="shared" si="1"/>
        <v>12</v>
      </c>
      <c r="Q38" s="5">
        <f t="shared" si="2"/>
        <v>2683.9533333333329</v>
      </c>
    </row>
    <row r="39" spans="1:17">
      <c r="A39" s="4">
        <v>70049</v>
      </c>
      <c r="B39" s="1" t="s">
        <v>37</v>
      </c>
      <c r="C39" s="5">
        <v>156.16</v>
      </c>
      <c r="D39" s="5">
        <v>153.32</v>
      </c>
      <c r="E39" s="5">
        <v>123.79</v>
      </c>
      <c r="F39" s="5">
        <v>242.48</v>
      </c>
      <c r="G39" s="5">
        <v>156.72999999999999</v>
      </c>
      <c r="H39" s="5">
        <v>89.15</v>
      </c>
      <c r="I39" s="5">
        <v>46.56</v>
      </c>
      <c r="J39" s="5">
        <v>54.51</v>
      </c>
      <c r="K39" s="5">
        <v>85.18</v>
      </c>
      <c r="L39" s="5">
        <v>260.08</v>
      </c>
      <c r="M39" s="5">
        <v>216.35</v>
      </c>
      <c r="N39" s="5">
        <v>109.03</v>
      </c>
      <c r="O39" s="8">
        <f t="shared" si="0"/>
        <v>1693.34</v>
      </c>
      <c r="P39" s="1">
        <f t="shared" si="1"/>
        <v>12</v>
      </c>
      <c r="Q39" s="5">
        <f t="shared" si="2"/>
        <v>141.11166666666665</v>
      </c>
    </row>
    <row r="40" spans="1:17">
      <c r="A40" s="4" t="s">
        <v>79</v>
      </c>
      <c r="B40" s="1" t="s">
        <v>80</v>
      </c>
      <c r="C40" s="5">
        <v>6638</v>
      </c>
      <c r="D40" s="5">
        <v>5354</v>
      </c>
      <c r="E40" s="5">
        <v>4556</v>
      </c>
      <c r="F40" s="5">
        <v>7328</v>
      </c>
      <c r="G40" s="5">
        <v>4854</v>
      </c>
      <c r="H40" s="5">
        <v>3564</v>
      </c>
      <c r="I40" s="5">
        <v>3453</v>
      </c>
      <c r="J40" s="5">
        <v>6065</v>
      </c>
      <c r="K40" s="5">
        <v>6993</v>
      </c>
      <c r="L40" s="5">
        <v>8111</v>
      </c>
      <c r="M40" s="5">
        <v>6373</v>
      </c>
      <c r="N40" s="5">
        <v>7548</v>
      </c>
      <c r="O40" s="8">
        <f t="shared" si="0"/>
        <v>70837</v>
      </c>
      <c r="P40" s="1">
        <f t="shared" si="1"/>
        <v>12</v>
      </c>
      <c r="Q40" s="5">
        <f t="shared" si="2"/>
        <v>5903.083333333333</v>
      </c>
    </row>
    <row r="41" spans="1:17">
      <c r="A41" s="4" t="s">
        <v>2</v>
      </c>
      <c r="B41" s="1" t="s">
        <v>70</v>
      </c>
      <c r="C41" s="5">
        <v>5937.95</v>
      </c>
      <c r="D41" s="5">
        <v>6447.4</v>
      </c>
      <c r="E41" s="5">
        <v>5349.53</v>
      </c>
      <c r="F41" s="5">
        <v>6304.87</v>
      </c>
      <c r="G41" s="5">
        <v>4772.09</v>
      </c>
      <c r="H41" s="5">
        <v>4058.21</v>
      </c>
      <c r="I41" s="5">
        <v>3530.19</v>
      </c>
      <c r="J41" s="5">
        <v>4538.9799999999996</v>
      </c>
      <c r="K41" s="5">
        <v>4965.3900000000003</v>
      </c>
      <c r="L41" s="5">
        <v>5496.31</v>
      </c>
      <c r="M41" s="5">
        <v>5394.14</v>
      </c>
      <c r="N41" s="5">
        <v>5185.04</v>
      </c>
      <c r="O41" s="8">
        <f t="shared" si="0"/>
        <v>61980.1</v>
      </c>
      <c r="P41" s="1">
        <f t="shared" si="1"/>
        <v>12</v>
      </c>
      <c r="Q41" s="5">
        <f t="shared" si="2"/>
        <v>5165.0083333333332</v>
      </c>
    </row>
    <row r="42" spans="1:17">
      <c r="A42" s="4">
        <v>70052</v>
      </c>
      <c r="B42" s="1" t="s">
        <v>38</v>
      </c>
      <c r="C42" s="5">
        <v>4497.6000000000004</v>
      </c>
      <c r="D42" s="5">
        <v>4305.18</v>
      </c>
      <c r="E42" s="5">
        <v>4342.32</v>
      </c>
      <c r="F42" s="5">
        <v>4503.7299999999996</v>
      </c>
      <c r="G42" s="5">
        <v>4128.2700000000004</v>
      </c>
      <c r="H42" s="5">
        <v>3090.03</v>
      </c>
      <c r="I42" s="5">
        <v>3237.19</v>
      </c>
      <c r="J42" s="5">
        <v>3551.41</v>
      </c>
      <c r="K42" s="5">
        <v>3744.86</v>
      </c>
      <c r="L42" s="5">
        <v>4274.8900000000003</v>
      </c>
      <c r="M42" s="5">
        <v>4516.38</v>
      </c>
      <c r="N42" s="5">
        <v>4235.13</v>
      </c>
      <c r="O42" s="8">
        <f t="shared" si="0"/>
        <v>48426.989999999991</v>
      </c>
      <c r="P42" s="1">
        <f t="shared" si="1"/>
        <v>12</v>
      </c>
      <c r="Q42" s="5">
        <f t="shared" si="2"/>
        <v>4035.5824999999991</v>
      </c>
    </row>
    <row r="43" spans="1:17">
      <c r="A43" s="4">
        <v>70053</v>
      </c>
      <c r="B43" s="1" t="s">
        <v>39</v>
      </c>
      <c r="C43" s="5">
        <v>12988.38</v>
      </c>
      <c r="D43" s="5">
        <v>15338.3</v>
      </c>
      <c r="E43" s="5">
        <v>12021.61</v>
      </c>
      <c r="F43" s="5">
        <v>16474.71</v>
      </c>
      <c r="G43" s="5">
        <v>31894.89</v>
      </c>
      <c r="H43" s="5">
        <v>9490.98</v>
      </c>
      <c r="I43" s="5">
        <v>9945.09</v>
      </c>
      <c r="J43" s="5">
        <v>13462.52</v>
      </c>
      <c r="K43" s="5">
        <v>13869.81</v>
      </c>
      <c r="L43" s="5">
        <v>16856.36</v>
      </c>
      <c r="M43" s="5">
        <v>19032.03</v>
      </c>
      <c r="N43" s="5">
        <v>14737.98</v>
      </c>
      <c r="O43" s="8">
        <f t="shared" si="0"/>
        <v>186112.66000000003</v>
      </c>
      <c r="P43" s="1">
        <f t="shared" si="1"/>
        <v>12</v>
      </c>
      <c r="Q43" s="5">
        <f t="shared" si="2"/>
        <v>15509.388333333336</v>
      </c>
    </row>
    <row r="44" spans="1:17">
      <c r="A44" s="4">
        <v>70054</v>
      </c>
      <c r="B44" s="1" t="s">
        <v>40</v>
      </c>
      <c r="C44" s="5">
        <v>12553.34</v>
      </c>
      <c r="D44" s="5">
        <v>7412.86</v>
      </c>
      <c r="E44" s="5">
        <v>13232.67</v>
      </c>
      <c r="F44" s="5">
        <v>13371.99</v>
      </c>
      <c r="G44" s="5">
        <v>9770.09</v>
      </c>
      <c r="H44" s="5">
        <v>4160.54</v>
      </c>
      <c r="I44" s="5">
        <v>4776.6099999999997</v>
      </c>
      <c r="J44" s="5">
        <v>8428.39</v>
      </c>
      <c r="K44" s="5">
        <v>8216.36</v>
      </c>
      <c r="L44" s="5">
        <v>11368.57</v>
      </c>
      <c r="M44" s="5">
        <v>8318.8799999999992</v>
      </c>
      <c r="N44" s="5">
        <v>9874.91</v>
      </c>
      <c r="O44" s="8">
        <f t="shared" si="0"/>
        <v>111485.20999999999</v>
      </c>
      <c r="P44" s="1">
        <f t="shared" si="1"/>
        <v>12</v>
      </c>
      <c r="Q44" s="5">
        <f t="shared" si="2"/>
        <v>9290.434166666666</v>
      </c>
    </row>
    <row r="45" spans="1:17">
      <c r="A45" s="4">
        <v>70055</v>
      </c>
      <c r="B45" s="1" t="s">
        <v>41</v>
      </c>
      <c r="C45" s="5">
        <v>5675.52</v>
      </c>
      <c r="D45" s="5">
        <v>5348.61</v>
      </c>
      <c r="E45" s="5">
        <v>4874.58</v>
      </c>
      <c r="F45" s="5">
        <v>5426.88</v>
      </c>
      <c r="G45" s="5">
        <v>4547.46</v>
      </c>
      <c r="H45" s="5">
        <v>3997.92</v>
      </c>
      <c r="I45" s="5">
        <v>3657.52</v>
      </c>
      <c r="J45" s="5">
        <v>4237.8599999999997</v>
      </c>
      <c r="K45" s="5">
        <v>5465.42</v>
      </c>
      <c r="L45" s="5">
        <v>5651.97</v>
      </c>
      <c r="M45" s="5">
        <v>5610.03</v>
      </c>
      <c r="N45" s="5">
        <v>5158.7299999999996</v>
      </c>
      <c r="O45" s="8">
        <f t="shared" si="0"/>
        <v>59652.5</v>
      </c>
      <c r="P45" s="1">
        <f t="shared" si="1"/>
        <v>12</v>
      </c>
      <c r="Q45" s="5">
        <f t="shared" si="2"/>
        <v>4971.041666666667</v>
      </c>
    </row>
    <row r="46" spans="1:17">
      <c r="A46" s="4">
        <v>70062</v>
      </c>
      <c r="B46" s="1" t="s">
        <v>42</v>
      </c>
      <c r="C46" s="5">
        <v>6775.08</v>
      </c>
      <c r="D46" s="5">
        <v>6690.06</v>
      </c>
      <c r="E46" s="5">
        <v>7114.53</v>
      </c>
      <c r="F46" s="5">
        <v>8110.19</v>
      </c>
      <c r="G46" s="5">
        <v>5855.6</v>
      </c>
      <c r="H46" s="5">
        <v>5330.99</v>
      </c>
      <c r="I46" s="5">
        <v>5476.98</v>
      </c>
      <c r="J46" s="5">
        <v>5386.03</v>
      </c>
      <c r="K46" s="5">
        <v>6566.04</v>
      </c>
      <c r="L46" s="5">
        <v>7606.5</v>
      </c>
      <c r="M46" s="5">
        <v>7347.7</v>
      </c>
      <c r="N46" s="5">
        <v>7124.14</v>
      </c>
      <c r="O46" s="8">
        <f t="shared" si="0"/>
        <v>79383.839999999997</v>
      </c>
      <c r="P46" s="1">
        <f t="shared" si="1"/>
        <v>12</v>
      </c>
      <c r="Q46" s="5">
        <f t="shared" si="2"/>
        <v>6615.32</v>
      </c>
    </row>
    <row r="47" spans="1:17">
      <c r="A47" s="4">
        <v>70063</v>
      </c>
      <c r="B47" s="1" t="s">
        <v>43</v>
      </c>
      <c r="C47" s="5">
        <v>8997.58</v>
      </c>
      <c r="D47" s="5">
        <v>8878.4</v>
      </c>
      <c r="E47" s="5">
        <v>8730.33</v>
      </c>
      <c r="F47" s="5">
        <v>10105.799999999999</v>
      </c>
      <c r="G47" s="5">
        <v>8113.58</v>
      </c>
      <c r="H47" s="5">
        <v>4492.4399999999996</v>
      </c>
      <c r="I47" s="5">
        <v>6722.48</v>
      </c>
      <c r="J47" s="5">
        <v>7359.85</v>
      </c>
      <c r="K47" s="5">
        <v>8334.57</v>
      </c>
      <c r="L47" s="5">
        <v>9487.44</v>
      </c>
      <c r="M47" s="5">
        <v>9022.5499999999993</v>
      </c>
      <c r="N47" s="5">
        <v>8616.86</v>
      </c>
      <c r="O47" s="8">
        <f t="shared" si="0"/>
        <v>98861.88</v>
      </c>
      <c r="P47" s="1">
        <f t="shared" si="1"/>
        <v>12</v>
      </c>
      <c r="Q47" s="5">
        <f t="shared" si="2"/>
        <v>8238.49</v>
      </c>
    </row>
    <row r="48" spans="1:17">
      <c r="A48" s="4">
        <v>70065</v>
      </c>
      <c r="B48" s="1" t="s">
        <v>44</v>
      </c>
      <c r="C48" s="5">
        <v>250.21</v>
      </c>
      <c r="D48" s="5">
        <v>79.260000000000005</v>
      </c>
      <c r="E48" s="5">
        <v>72.72</v>
      </c>
      <c r="O48" s="8">
        <f t="shared" si="0"/>
        <v>402.19000000000005</v>
      </c>
      <c r="P48" s="1">
        <f t="shared" si="1"/>
        <v>3</v>
      </c>
      <c r="Q48" s="5">
        <f t="shared" si="2"/>
        <v>134.06333333333336</v>
      </c>
    </row>
    <row r="49" spans="1:17">
      <c r="A49" s="4">
        <v>70067</v>
      </c>
      <c r="B49" s="1" t="s">
        <v>46</v>
      </c>
      <c r="C49" s="5">
        <v>3836.7</v>
      </c>
      <c r="D49" s="5">
        <v>3068.03</v>
      </c>
      <c r="E49" s="5">
        <v>2322.3000000000002</v>
      </c>
      <c r="F49" s="5">
        <v>3436.98</v>
      </c>
      <c r="G49" s="5">
        <v>1862.52</v>
      </c>
      <c r="H49" s="5">
        <v>1354.37</v>
      </c>
      <c r="I49" s="5">
        <v>1567.73</v>
      </c>
      <c r="J49" s="5">
        <v>2661.27</v>
      </c>
      <c r="K49" s="5">
        <v>3283.16</v>
      </c>
      <c r="L49" s="5">
        <v>3615.56</v>
      </c>
      <c r="M49" s="5">
        <v>3030</v>
      </c>
      <c r="N49" s="5">
        <v>3193.61</v>
      </c>
      <c r="O49" s="8">
        <f t="shared" si="0"/>
        <v>33232.229999999996</v>
      </c>
      <c r="P49" s="1">
        <f t="shared" si="1"/>
        <v>12</v>
      </c>
      <c r="Q49" s="5">
        <f t="shared" si="2"/>
        <v>2769.3524999999995</v>
      </c>
    </row>
    <row r="50" spans="1:17">
      <c r="A50" s="4">
        <v>70068</v>
      </c>
      <c r="B50" s="1" t="s">
        <v>47</v>
      </c>
      <c r="C50" s="5">
        <v>226.98</v>
      </c>
      <c r="D50" s="5">
        <v>389.16</v>
      </c>
      <c r="E50" s="5">
        <v>161.1</v>
      </c>
      <c r="F50" s="5">
        <v>370.44</v>
      </c>
      <c r="G50" s="5">
        <v>3131.34</v>
      </c>
      <c r="H50" s="5">
        <v>0</v>
      </c>
      <c r="I50" s="5">
        <v>0</v>
      </c>
      <c r="J50" s="5">
        <v>0</v>
      </c>
      <c r="K50" s="5">
        <v>0</v>
      </c>
      <c r="L50" s="5">
        <v>610.32000000000005</v>
      </c>
      <c r="M50" s="5">
        <v>366.48</v>
      </c>
      <c r="N50" s="5">
        <v>262.14</v>
      </c>
      <c r="O50" s="8">
        <f t="shared" si="0"/>
        <v>5517.96</v>
      </c>
      <c r="P50" s="1">
        <f t="shared" si="1"/>
        <v>12</v>
      </c>
      <c r="Q50" s="5">
        <f t="shared" si="2"/>
        <v>459.83</v>
      </c>
    </row>
    <row r="51" spans="1:17">
      <c r="A51" s="4" t="s">
        <v>72</v>
      </c>
      <c r="B51" s="1" t="s">
        <v>48</v>
      </c>
      <c r="C51" s="5">
        <v>6815</v>
      </c>
      <c r="D51" s="5">
        <v>5798</v>
      </c>
      <c r="E51" s="5">
        <v>5058</v>
      </c>
      <c r="F51" s="5">
        <v>6698</v>
      </c>
      <c r="G51" s="5">
        <v>5091</v>
      </c>
      <c r="H51" s="5">
        <v>3552</v>
      </c>
      <c r="I51" s="5">
        <v>3368</v>
      </c>
      <c r="J51" s="5">
        <v>4647</v>
      </c>
      <c r="K51" s="5">
        <v>5625</v>
      </c>
      <c r="L51" s="5">
        <v>6569</v>
      </c>
      <c r="M51" s="5">
        <v>5806</v>
      </c>
      <c r="N51" s="5">
        <v>5974</v>
      </c>
      <c r="O51" s="8">
        <f t="shared" si="0"/>
        <v>65001</v>
      </c>
      <c r="P51" s="1">
        <f t="shared" si="1"/>
        <v>12</v>
      </c>
      <c r="Q51" s="5">
        <f t="shared" si="2"/>
        <v>5416.75</v>
      </c>
    </row>
    <row r="52" spans="1:17">
      <c r="A52" s="4" t="s">
        <v>65</v>
      </c>
      <c r="B52" s="1" t="s">
        <v>67</v>
      </c>
      <c r="C52" s="5">
        <v>17967.900000000001</v>
      </c>
      <c r="D52" s="5">
        <v>16225.2</v>
      </c>
      <c r="E52" s="5">
        <v>16449.96</v>
      </c>
      <c r="F52" s="5">
        <v>20257.080000000002</v>
      </c>
      <c r="G52" s="5">
        <v>16858.080000000002</v>
      </c>
      <c r="H52" s="5">
        <v>13984.62</v>
      </c>
      <c r="I52" s="5">
        <v>15044.88</v>
      </c>
      <c r="J52" s="5">
        <v>14758.2</v>
      </c>
      <c r="K52" s="5">
        <v>16901.28</v>
      </c>
      <c r="L52" s="5">
        <v>18241.439999999999</v>
      </c>
      <c r="M52" s="5">
        <v>18657.18</v>
      </c>
      <c r="N52" s="5">
        <v>16295.52</v>
      </c>
      <c r="O52" s="8">
        <f t="shared" si="0"/>
        <v>201641.34</v>
      </c>
      <c r="P52" s="1">
        <f t="shared" si="1"/>
        <v>12</v>
      </c>
      <c r="Q52" s="5">
        <f t="shared" si="2"/>
        <v>16803.445</v>
      </c>
    </row>
    <row r="53" spans="1:17">
      <c r="A53" s="4">
        <v>70071</v>
      </c>
      <c r="B53" s="1" t="s">
        <v>49</v>
      </c>
      <c r="C53" s="5">
        <v>315.77999999999997</v>
      </c>
      <c r="D53" s="5">
        <v>200.4</v>
      </c>
      <c r="E53" s="5">
        <v>437.4</v>
      </c>
      <c r="F53" s="5">
        <v>662.7</v>
      </c>
      <c r="G53" s="5">
        <v>231.42</v>
      </c>
      <c r="H53" s="5">
        <v>19.2</v>
      </c>
      <c r="I53" s="5">
        <v>63</v>
      </c>
      <c r="J53" s="5">
        <v>43.8</v>
      </c>
      <c r="K53" s="5">
        <v>120</v>
      </c>
      <c r="L53" s="5">
        <v>494.7</v>
      </c>
      <c r="M53" s="5">
        <v>441.6</v>
      </c>
      <c r="N53" s="5">
        <v>270.42</v>
      </c>
      <c r="O53" s="8">
        <f t="shared" si="0"/>
        <v>3300.4199999999996</v>
      </c>
      <c r="P53" s="1">
        <f t="shared" si="1"/>
        <v>12</v>
      </c>
      <c r="Q53" s="5">
        <f t="shared" si="2"/>
        <v>275.03499999999997</v>
      </c>
    </row>
    <row r="54" spans="1:17">
      <c r="A54" s="4">
        <v>70072</v>
      </c>
      <c r="B54" s="1" t="s">
        <v>50</v>
      </c>
      <c r="C54" s="5">
        <v>7029.71</v>
      </c>
      <c r="D54" s="5">
        <v>6866.58</v>
      </c>
      <c r="E54" s="5">
        <v>7268.58</v>
      </c>
      <c r="F54" s="5">
        <v>7662.16</v>
      </c>
      <c r="G54" s="5">
        <v>6105.51</v>
      </c>
      <c r="H54" s="5">
        <v>4038.91</v>
      </c>
      <c r="I54" s="5">
        <v>3875.17</v>
      </c>
      <c r="J54" s="5">
        <v>5418.91</v>
      </c>
      <c r="K54" s="5">
        <v>6176.47</v>
      </c>
      <c r="L54" s="5">
        <v>7009.49</v>
      </c>
      <c r="M54" s="5">
        <v>5207.55</v>
      </c>
      <c r="N54" s="5">
        <v>6263.18</v>
      </c>
      <c r="O54" s="8">
        <f t="shared" si="0"/>
        <v>72922.22</v>
      </c>
      <c r="P54" s="1">
        <f t="shared" si="1"/>
        <v>12</v>
      </c>
      <c r="Q54" s="5">
        <f t="shared" si="2"/>
        <v>6076.8516666666665</v>
      </c>
    </row>
    <row r="55" spans="1:17">
      <c r="A55" s="4">
        <v>70074</v>
      </c>
      <c r="B55" s="1" t="s">
        <v>52</v>
      </c>
      <c r="C55" s="5">
        <v>0</v>
      </c>
      <c r="D55" s="5"/>
      <c r="E55" s="5"/>
      <c r="K55" s="5"/>
      <c r="O55" s="8">
        <f t="shared" si="0"/>
        <v>0</v>
      </c>
      <c r="P55" s="1">
        <f t="shared" si="1"/>
        <v>1</v>
      </c>
      <c r="Q55" s="5">
        <f t="shared" si="2"/>
        <v>0</v>
      </c>
    </row>
    <row r="56" spans="1:17">
      <c r="A56" s="4">
        <v>70075</v>
      </c>
      <c r="B56" s="1" t="s">
        <v>53</v>
      </c>
      <c r="C56" s="5">
        <v>6478.5</v>
      </c>
      <c r="D56" s="5">
        <v>5961.75</v>
      </c>
      <c r="E56" s="5">
        <v>5556.7</v>
      </c>
      <c r="F56" s="5">
        <v>6384.99</v>
      </c>
      <c r="G56" s="5">
        <v>4617.3999999999996</v>
      </c>
      <c r="H56" s="5">
        <v>3287.8</v>
      </c>
      <c r="I56" s="5">
        <v>3017.11</v>
      </c>
      <c r="J56" s="5">
        <v>4840.54</v>
      </c>
      <c r="K56" s="5">
        <v>5784.94</v>
      </c>
      <c r="L56" s="5">
        <v>6029.04</v>
      </c>
      <c r="M56" s="5">
        <v>5853.57</v>
      </c>
      <c r="N56" s="5">
        <v>6447.19</v>
      </c>
      <c r="O56" s="8">
        <f t="shared" si="0"/>
        <v>64259.530000000006</v>
      </c>
      <c r="P56" s="1">
        <f t="shared" si="1"/>
        <v>12</v>
      </c>
      <c r="Q56" s="5">
        <f t="shared" si="2"/>
        <v>5354.9608333333335</v>
      </c>
    </row>
    <row r="57" spans="1:17">
      <c r="A57" s="4">
        <v>70076</v>
      </c>
      <c r="B57" s="1" t="s">
        <v>54</v>
      </c>
      <c r="C57" s="5">
        <v>9009.86</v>
      </c>
      <c r="D57" s="5">
        <v>8037.37</v>
      </c>
      <c r="E57" s="5">
        <v>7191.15</v>
      </c>
      <c r="F57" s="5">
        <v>10035.02</v>
      </c>
      <c r="G57" s="5">
        <v>7472.95</v>
      </c>
      <c r="H57" s="5">
        <v>5356.91</v>
      </c>
      <c r="I57" s="5">
        <v>6248.24</v>
      </c>
      <c r="J57" s="5">
        <v>6835.77</v>
      </c>
      <c r="K57" s="5">
        <v>8743.5</v>
      </c>
      <c r="L57" s="5">
        <v>9136.5300000000007</v>
      </c>
      <c r="M57" s="5">
        <v>8403.7800000000007</v>
      </c>
      <c r="N57" s="5">
        <v>7808.38</v>
      </c>
      <c r="O57" s="8">
        <f t="shared" si="0"/>
        <v>94279.459999999992</v>
      </c>
      <c r="P57" s="1">
        <f t="shared" si="1"/>
        <v>12</v>
      </c>
      <c r="Q57" s="5">
        <f t="shared" si="2"/>
        <v>7856.621666666666</v>
      </c>
    </row>
    <row r="58" spans="1:17">
      <c r="A58" s="4">
        <v>70077</v>
      </c>
      <c r="B58" s="1" t="s">
        <v>3</v>
      </c>
      <c r="C58" s="5">
        <v>3032.34</v>
      </c>
      <c r="D58" s="5">
        <v>2773.01</v>
      </c>
      <c r="E58" s="5">
        <v>3996.92</v>
      </c>
      <c r="F58" s="5">
        <v>5815.03</v>
      </c>
      <c r="G58" s="5">
        <v>3346.39</v>
      </c>
      <c r="H58" s="5">
        <v>2168.2399999999998</v>
      </c>
      <c r="I58" s="5">
        <v>2704.6</v>
      </c>
      <c r="J58" s="5">
        <v>5617.48</v>
      </c>
      <c r="K58" s="5">
        <v>4258.9799999999996</v>
      </c>
      <c r="L58" s="5">
        <v>5597.29</v>
      </c>
      <c r="M58" s="5">
        <v>5341.85</v>
      </c>
      <c r="N58" s="5">
        <v>4300.1499999999996</v>
      </c>
      <c r="O58" s="8">
        <f t="shared" si="0"/>
        <v>48952.28</v>
      </c>
      <c r="P58" s="1">
        <f t="shared" si="1"/>
        <v>12</v>
      </c>
      <c r="Q58" s="5">
        <f t="shared" si="2"/>
        <v>4079.3566666666666</v>
      </c>
    </row>
    <row r="59" spans="1:17">
      <c r="A59" s="4">
        <v>70078</v>
      </c>
      <c r="B59" s="1" t="s">
        <v>55</v>
      </c>
      <c r="C59" s="5">
        <v>10550.74</v>
      </c>
      <c r="D59" s="5">
        <v>11101.88</v>
      </c>
      <c r="E59" s="5">
        <v>12357.68</v>
      </c>
      <c r="F59" s="5">
        <v>11555.99</v>
      </c>
      <c r="G59" s="5">
        <v>9654.0300000000007</v>
      </c>
      <c r="H59" s="5">
        <v>9425.93</v>
      </c>
      <c r="I59" s="5">
        <v>6846.86</v>
      </c>
      <c r="J59" s="5">
        <v>10082.469999999999</v>
      </c>
      <c r="K59" s="5">
        <v>13495.18</v>
      </c>
      <c r="L59" s="5">
        <v>11644.06</v>
      </c>
      <c r="M59" s="5">
        <v>11410.1</v>
      </c>
      <c r="N59" s="5">
        <v>13368.96</v>
      </c>
      <c r="O59" s="8">
        <f t="shared" si="0"/>
        <v>131493.88</v>
      </c>
      <c r="P59" s="1">
        <f t="shared" si="1"/>
        <v>12</v>
      </c>
      <c r="Q59" s="5">
        <f t="shared" si="2"/>
        <v>10957.823333333334</v>
      </c>
    </row>
    <row r="60" spans="1:17">
      <c r="A60" s="4">
        <v>70079</v>
      </c>
      <c r="B60" s="1" t="s">
        <v>56</v>
      </c>
      <c r="C60" s="5">
        <v>6347.53</v>
      </c>
      <c r="D60" s="5">
        <v>6888.45</v>
      </c>
      <c r="E60" s="5">
        <v>6207.81</v>
      </c>
      <c r="F60" s="5">
        <v>6379.71</v>
      </c>
      <c r="G60" s="5">
        <v>4260.32</v>
      </c>
      <c r="H60" s="5">
        <v>2135.84</v>
      </c>
      <c r="I60" s="5">
        <v>2875.93</v>
      </c>
      <c r="J60" s="5">
        <v>2904.73</v>
      </c>
      <c r="K60" s="5">
        <v>5380.65</v>
      </c>
      <c r="L60" s="5">
        <v>5481.63</v>
      </c>
      <c r="M60" s="5">
        <v>5100.6499999999996</v>
      </c>
      <c r="N60" s="5">
        <v>4655.1000000000004</v>
      </c>
      <c r="O60" s="8">
        <f t="shared" si="0"/>
        <v>58618.35</v>
      </c>
      <c r="P60" s="1">
        <f t="shared" si="1"/>
        <v>12</v>
      </c>
      <c r="Q60" s="5">
        <f t="shared" si="2"/>
        <v>4884.8625000000002</v>
      </c>
    </row>
    <row r="61" spans="1:17">
      <c r="A61" s="4">
        <v>70080</v>
      </c>
      <c r="B61" s="1" t="s">
        <v>57</v>
      </c>
      <c r="C61" s="5">
        <v>5178.51</v>
      </c>
      <c r="D61" s="5">
        <v>5181.25</v>
      </c>
      <c r="E61" s="5">
        <v>4893.8599999999997</v>
      </c>
      <c r="F61" s="5">
        <v>5220.1899999999996</v>
      </c>
      <c r="G61" s="5">
        <v>3955.1</v>
      </c>
      <c r="H61" s="5">
        <v>1560.87</v>
      </c>
      <c r="I61" s="5">
        <v>2493.35</v>
      </c>
      <c r="J61" s="5">
        <v>2415.65</v>
      </c>
      <c r="K61" s="5">
        <v>3854.11</v>
      </c>
      <c r="L61" s="5">
        <v>4393.38</v>
      </c>
      <c r="M61" s="5">
        <v>3801.93</v>
      </c>
      <c r="N61" s="5">
        <v>4060.97</v>
      </c>
      <c r="O61" s="8">
        <f t="shared" si="0"/>
        <v>47009.169999999991</v>
      </c>
      <c r="P61" s="1">
        <f t="shared" si="1"/>
        <v>12</v>
      </c>
      <c r="Q61" s="5">
        <f t="shared" si="2"/>
        <v>3917.4308333333324</v>
      </c>
    </row>
    <row r="62" spans="1:17">
      <c r="A62" s="4">
        <v>70081</v>
      </c>
      <c r="B62" s="1" t="s">
        <v>58</v>
      </c>
      <c r="C62" s="5">
        <v>32448.31</v>
      </c>
      <c r="D62" s="5">
        <v>35745.58</v>
      </c>
      <c r="E62" s="5">
        <v>44674.91</v>
      </c>
      <c r="F62" s="5">
        <v>45827.81</v>
      </c>
      <c r="G62" s="5">
        <v>35812.69</v>
      </c>
      <c r="H62" s="5">
        <v>22787.71</v>
      </c>
      <c r="I62" s="5">
        <v>22015.040000000001</v>
      </c>
      <c r="J62" s="5">
        <v>28904.799999999999</v>
      </c>
      <c r="K62" s="5">
        <v>38511.94</v>
      </c>
      <c r="L62" s="5">
        <v>44589.73</v>
      </c>
      <c r="M62" s="5">
        <v>33881.410000000003</v>
      </c>
      <c r="N62" s="5">
        <v>38556</v>
      </c>
      <c r="O62" s="8">
        <f t="shared" si="0"/>
        <v>423755.92999999993</v>
      </c>
      <c r="P62" s="1">
        <f t="shared" si="1"/>
        <v>12</v>
      </c>
      <c r="Q62" s="5">
        <f t="shared" si="2"/>
        <v>35312.994166666664</v>
      </c>
    </row>
    <row r="63" spans="1:17">
      <c r="A63" s="4">
        <v>70082</v>
      </c>
      <c r="B63" s="1" t="s">
        <v>59</v>
      </c>
      <c r="C63" s="5">
        <v>3631.46</v>
      </c>
      <c r="D63" s="5">
        <v>2946.96</v>
      </c>
      <c r="E63" s="5">
        <v>2514.73</v>
      </c>
      <c r="F63" s="5">
        <v>3072.26</v>
      </c>
      <c r="G63" s="5">
        <v>1828.44</v>
      </c>
      <c r="H63" s="5">
        <v>1569.84</v>
      </c>
      <c r="I63" s="5">
        <v>1461.66</v>
      </c>
      <c r="J63" s="5">
        <v>2378.48</v>
      </c>
      <c r="K63" s="5">
        <v>2792.76</v>
      </c>
      <c r="L63" s="5">
        <v>2770.74</v>
      </c>
      <c r="M63" s="5">
        <v>2782.59</v>
      </c>
      <c r="N63" s="5">
        <v>2743.98</v>
      </c>
      <c r="O63" s="8">
        <f t="shared" si="0"/>
        <v>30493.9</v>
      </c>
      <c r="P63" s="1">
        <f t="shared" si="1"/>
        <v>12</v>
      </c>
      <c r="Q63" s="5">
        <f t="shared" si="2"/>
        <v>2541.1583333333333</v>
      </c>
    </row>
    <row r="64" spans="1:17">
      <c r="A64" s="4">
        <v>70084</v>
      </c>
      <c r="B64" s="1" t="s">
        <v>64</v>
      </c>
      <c r="C64" s="5"/>
      <c r="D64" s="5">
        <v>2819.98</v>
      </c>
      <c r="E64" s="5">
        <v>2457.88</v>
      </c>
      <c r="F64" s="5">
        <v>3264.05</v>
      </c>
      <c r="G64" s="5">
        <v>2030.79</v>
      </c>
      <c r="H64" s="5">
        <v>1461.75</v>
      </c>
      <c r="I64" s="5">
        <v>1111.3699999999999</v>
      </c>
      <c r="J64" s="5">
        <v>2143.0300000000002</v>
      </c>
      <c r="K64" s="5">
        <v>2438.9499999999998</v>
      </c>
      <c r="L64" s="5">
        <v>1700.97</v>
      </c>
      <c r="M64" s="5">
        <v>2428.48</v>
      </c>
      <c r="N64" s="5">
        <v>3830.1</v>
      </c>
      <c r="O64" s="8">
        <f t="shared" si="0"/>
        <v>25687.35</v>
      </c>
      <c r="P64" s="1">
        <f t="shared" si="1"/>
        <v>11</v>
      </c>
      <c r="Q64" s="5">
        <f t="shared" si="2"/>
        <v>2335.2136363636364</v>
      </c>
    </row>
    <row r="65" spans="1:17">
      <c r="A65" s="4">
        <v>70085</v>
      </c>
      <c r="B65" s="1" t="s">
        <v>76</v>
      </c>
      <c r="C65" s="5">
        <v>711.12</v>
      </c>
      <c r="D65" s="5">
        <v>489.89</v>
      </c>
      <c r="E65" s="5">
        <v>536.57000000000005</v>
      </c>
      <c r="F65" s="5">
        <v>702.41</v>
      </c>
      <c r="G65" s="5">
        <v>786.81</v>
      </c>
      <c r="H65" s="5">
        <v>512.24</v>
      </c>
      <c r="I65" s="5">
        <v>896.46</v>
      </c>
      <c r="J65" s="5">
        <v>887.32</v>
      </c>
      <c r="K65" s="5">
        <v>924.1</v>
      </c>
      <c r="L65" s="5">
        <v>507.35</v>
      </c>
      <c r="M65" s="5">
        <v>431.16</v>
      </c>
      <c r="N65" s="5">
        <v>858.74</v>
      </c>
      <c r="O65" s="8">
        <f t="shared" si="0"/>
        <v>8244.17</v>
      </c>
      <c r="P65" s="1">
        <f t="shared" si="1"/>
        <v>12</v>
      </c>
      <c r="Q65" s="5">
        <f t="shared" si="2"/>
        <v>687.01416666666671</v>
      </c>
    </row>
    <row r="66" spans="1:17">
      <c r="A66" s="4">
        <v>70086</v>
      </c>
      <c r="B66" s="1" t="s">
        <v>85</v>
      </c>
      <c r="C66" s="5">
        <v>182.46</v>
      </c>
      <c r="D66" s="5">
        <v>134.69999999999999</v>
      </c>
      <c r="E66" s="5">
        <v>154.44</v>
      </c>
      <c r="F66" s="5">
        <v>326.88</v>
      </c>
      <c r="G66" s="5">
        <v>175.08</v>
      </c>
      <c r="H66" s="5">
        <v>149.1</v>
      </c>
      <c r="I66" s="5">
        <v>82.68</v>
      </c>
      <c r="J66" s="5">
        <v>244.26</v>
      </c>
      <c r="K66" s="5">
        <v>203.73</v>
      </c>
      <c r="L66" s="5">
        <v>448.02</v>
      </c>
      <c r="M66" s="5">
        <v>149.28</v>
      </c>
      <c r="N66" s="5">
        <v>307.32</v>
      </c>
      <c r="O66" s="8">
        <f t="shared" si="0"/>
        <v>2557.9500000000007</v>
      </c>
      <c r="P66" s="1">
        <f t="shared" si="1"/>
        <v>12</v>
      </c>
      <c r="Q66" s="5">
        <f t="shared" si="2"/>
        <v>213.16250000000005</v>
      </c>
    </row>
    <row r="67" spans="1:17">
      <c r="A67" s="4">
        <v>70087</v>
      </c>
      <c r="B67" s="1" t="s">
        <v>87</v>
      </c>
      <c r="C67" s="5"/>
      <c r="D67" s="5"/>
      <c r="E67" s="5"/>
      <c r="O67" s="8">
        <f>SUM(C67:N67)</f>
        <v>0</v>
      </c>
      <c r="P67" s="1">
        <f>+COUNT(C67:N67)</f>
        <v>0</v>
      </c>
      <c r="Q67" s="5"/>
    </row>
    <row r="68" spans="1:17">
      <c r="A68" s="4">
        <v>70088</v>
      </c>
      <c r="B68" s="1" t="s">
        <v>88</v>
      </c>
      <c r="C68" s="5">
        <v>77.680000000000007</v>
      </c>
      <c r="D68" s="5">
        <v>45.42</v>
      </c>
      <c r="E68" s="5">
        <v>5.68</v>
      </c>
      <c r="F68" s="5">
        <v>587.07000000000005</v>
      </c>
      <c r="G68" s="5">
        <v>206.56</v>
      </c>
      <c r="H68" s="5">
        <v>103.82</v>
      </c>
      <c r="I68" s="5">
        <v>219.3</v>
      </c>
      <c r="J68" s="5">
        <v>270.66000000000003</v>
      </c>
      <c r="K68" s="5">
        <v>147.53</v>
      </c>
      <c r="L68" s="5">
        <v>401.77</v>
      </c>
      <c r="M68" s="5">
        <v>345.76</v>
      </c>
      <c r="N68" s="5">
        <v>347.94</v>
      </c>
      <c r="O68" s="8">
        <f>SUM(C68:N68)</f>
        <v>2759.19</v>
      </c>
      <c r="P68" s="1">
        <f>+COUNT(C68:N68)</f>
        <v>12</v>
      </c>
      <c r="Q68" s="5">
        <f>+O68/P68</f>
        <v>229.9325</v>
      </c>
    </row>
    <row r="69" spans="1:17">
      <c r="A69" s="4">
        <v>70089</v>
      </c>
      <c r="B69" s="1" t="s">
        <v>89</v>
      </c>
      <c r="C69" s="5">
        <v>4611.1499999999996</v>
      </c>
      <c r="D69" s="5">
        <v>4757.3</v>
      </c>
      <c r="E69" s="5">
        <v>6102.56</v>
      </c>
      <c r="F69" s="5">
        <v>5961.82</v>
      </c>
      <c r="G69" s="5">
        <v>4163.25</v>
      </c>
      <c r="H69" s="5">
        <v>1700.98</v>
      </c>
      <c r="I69" s="5">
        <v>2654.94</v>
      </c>
      <c r="J69" s="5">
        <v>4911.07</v>
      </c>
      <c r="K69" s="5">
        <v>3648.02</v>
      </c>
      <c r="L69" s="5">
        <v>4569.66</v>
      </c>
      <c r="M69" s="5">
        <v>4842.41</v>
      </c>
      <c r="N69" s="5">
        <v>5476.78</v>
      </c>
      <c r="O69" s="8">
        <f>SUM(C69:N69)</f>
        <v>53399.94</v>
      </c>
      <c r="P69" s="1">
        <f>+COUNT(C69:N69)</f>
        <v>12</v>
      </c>
      <c r="Q69" s="5">
        <f>+O69/P69</f>
        <v>4449.9949999999999</v>
      </c>
    </row>
    <row r="70" spans="1:17">
      <c r="A70" s="4">
        <v>70090</v>
      </c>
      <c r="B70" s="1" t="s">
        <v>90</v>
      </c>
      <c r="C70" s="5"/>
      <c r="D70" s="5"/>
      <c r="E70" s="5"/>
      <c r="F70" s="5"/>
      <c r="G70" s="5"/>
      <c r="I70" s="5">
        <v>0</v>
      </c>
      <c r="J70" s="1">
        <v>0</v>
      </c>
      <c r="K70" s="1">
        <v>0</v>
      </c>
      <c r="L70" s="5">
        <v>3369.63</v>
      </c>
      <c r="M70" s="5">
        <v>7925.18</v>
      </c>
      <c r="N70" s="5">
        <v>9664.56</v>
      </c>
      <c r="O70" s="8">
        <f>SUM(C70:N70)</f>
        <v>20959.370000000003</v>
      </c>
      <c r="P70" s="1">
        <f>+COUNT(C70:N70)</f>
        <v>6</v>
      </c>
      <c r="Q70" s="5">
        <f>+O70/P70</f>
        <v>3493.2283333333339</v>
      </c>
    </row>
    <row r="71" spans="1:17">
      <c r="A71" s="21">
        <v>70091</v>
      </c>
      <c r="B71" s="22" t="s">
        <v>91</v>
      </c>
      <c r="C71" s="25"/>
      <c r="D71" s="25"/>
      <c r="E71" s="25"/>
      <c r="F71" s="25"/>
      <c r="G71" s="25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 spans="1:17">
      <c r="C72" s="5"/>
      <c r="D72" s="5"/>
      <c r="E72" s="5"/>
      <c r="F72" s="5"/>
      <c r="G72" s="5"/>
    </row>
    <row r="73" spans="1:17">
      <c r="B73" s="1" t="s">
        <v>140</v>
      </c>
      <c r="C73" s="5">
        <f t="shared" ref="C73:N73" si="3">SUM(C2:C71)</f>
        <v>530559.13000000012</v>
      </c>
      <c r="D73" s="5">
        <f t="shared" si="3"/>
        <v>512772.82</v>
      </c>
      <c r="E73" s="5">
        <f t="shared" si="3"/>
        <v>498451.70000000019</v>
      </c>
      <c r="F73" s="5">
        <f t="shared" si="3"/>
        <v>613129.59999999986</v>
      </c>
      <c r="G73" s="5">
        <f t="shared" si="3"/>
        <v>485293.18000000017</v>
      </c>
      <c r="H73" s="5">
        <f t="shared" si="3"/>
        <v>374835.01999999996</v>
      </c>
      <c r="I73" s="5">
        <f t="shared" si="3"/>
        <v>446611.76999999984</v>
      </c>
      <c r="J73" s="5">
        <f t="shared" si="3"/>
        <v>436692.99999999994</v>
      </c>
      <c r="K73" s="5">
        <f t="shared" si="3"/>
        <v>489590.49</v>
      </c>
      <c r="L73" s="5">
        <f t="shared" si="3"/>
        <v>631180.25000000023</v>
      </c>
      <c r="M73" s="5">
        <f t="shared" si="3"/>
        <v>559770.57000000007</v>
      </c>
      <c r="N73" s="5">
        <f t="shared" si="3"/>
        <v>517053.78999999992</v>
      </c>
      <c r="O73" s="5">
        <f>SUM(O2:O71)</f>
        <v>6095941.3200000012</v>
      </c>
      <c r="Q73" s="5">
        <f>+O73/12</f>
        <v>507995.1100000001</v>
      </c>
    </row>
    <row r="74" spans="1:17">
      <c r="C74" s="5"/>
      <c r="E74" s="5"/>
    </row>
    <row r="75" spans="1:17">
      <c r="C75" s="5"/>
    </row>
    <row r="76" spans="1:17">
      <c r="C76" s="5"/>
    </row>
    <row r="77" spans="1:17">
      <c r="C77" s="5"/>
    </row>
    <row r="78" spans="1:17">
      <c r="C78" s="5"/>
    </row>
    <row r="79" spans="1:17">
      <c r="C79" s="5"/>
    </row>
    <row r="80" spans="1:17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  <row r="85" spans="3:3">
      <c r="C85" s="5"/>
    </row>
    <row r="86" spans="3:3">
      <c r="C86" s="5"/>
    </row>
    <row r="87" spans="3:3">
      <c r="C87" s="5"/>
    </row>
    <row r="88" spans="3:3">
      <c r="C88" s="5"/>
    </row>
    <row r="89" spans="3:3">
      <c r="C89" s="5"/>
    </row>
    <row r="90" spans="3:3">
      <c r="C90" s="5"/>
    </row>
    <row r="91" spans="3:3">
      <c r="C91" s="5"/>
    </row>
    <row r="92" spans="3:3">
      <c r="C92" s="5"/>
    </row>
    <row r="93" spans="3:3">
      <c r="C93" s="5"/>
    </row>
    <row r="94" spans="3:3">
      <c r="C94" s="5"/>
    </row>
    <row r="95" spans="3:3">
      <c r="C95" s="5"/>
    </row>
    <row r="96" spans="3:3">
      <c r="C96" s="5"/>
    </row>
    <row r="97" spans="3:3">
      <c r="C97" s="5"/>
    </row>
    <row r="98" spans="3:3">
      <c r="C98" s="5"/>
    </row>
    <row r="99" spans="3:3">
      <c r="C99" s="5"/>
    </row>
    <row r="100" spans="3:3">
      <c r="C100" s="5"/>
    </row>
    <row r="101" spans="3:3">
      <c r="C101" s="5"/>
    </row>
    <row r="102" spans="3:3">
      <c r="C102" s="5"/>
    </row>
    <row r="103" spans="3:3">
      <c r="C103" s="5"/>
    </row>
    <row r="104" spans="3:3">
      <c r="C104" s="5"/>
    </row>
    <row r="105" spans="3:3">
      <c r="C105" s="5"/>
    </row>
    <row r="106" spans="3:3">
      <c r="C106" s="5"/>
    </row>
    <row r="107" spans="3:3">
      <c r="C107" s="5"/>
    </row>
    <row r="108" spans="3:3">
      <c r="C108" s="5"/>
    </row>
    <row r="109" spans="3:3">
      <c r="C109" s="5"/>
    </row>
    <row r="110" spans="3:3">
      <c r="C110" s="5"/>
    </row>
    <row r="111" spans="3:3">
      <c r="C111" s="5"/>
    </row>
    <row r="112" spans="3:3">
      <c r="C112" s="5"/>
    </row>
    <row r="113" spans="3:3">
      <c r="C113" s="5"/>
    </row>
    <row r="114" spans="3:3">
      <c r="C114" s="5"/>
    </row>
    <row r="115" spans="3:3">
      <c r="C115" s="5"/>
    </row>
    <row r="116" spans="3:3">
      <c r="C116" s="5"/>
    </row>
    <row r="117" spans="3:3">
      <c r="C117" s="5"/>
    </row>
    <row r="118" spans="3:3">
      <c r="C118" s="5"/>
    </row>
    <row r="119" spans="3:3">
      <c r="C119" s="5"/>
    </row>
    <row r="120" spans="3:3">
      <c r="C120" s="5"/>
    </row>
    <row r="121" spans="3:3">
      <c r="C121" s="5"/>
    </row>
    <row r="122" spans="3:3">
      <c r="C122" s="5"/>
    </row>
    <row r="123" spans="3:3">
      <c r="C123" s="5"/>
    </row>
    <row r="124" spans="3:3">
      <c r="C124" s="5"/>
    </row>
    <row r="125" spans="3:3">
      <c r="C125" s="5"/>
    </row>
    <row r="126" spans="3:3">
      <c r="C126" s="5"/>
    </row>
    <row r="127" spans="3:3">
      <c r="C127" s="5"/>
    </row>
    <row r="128" spans="3:3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  <row r="140" spans="3:3">
      <c r="C140" s="5"/>
    </row>
    <row r="141" spans="3:3">
      <c r="C141" s="5"/>
    </row>
    <row r="142" spans="3:3">
      <c r="C142" s="5"/>
    </row>
    <row r="143" spans="3:3">
      <c r="C143" s="5"/>
    </row>
    <row r="144" spans="3:3">
      <c r="C144" s="5"/>
    </row>
    <row r="145" spans="3:3">
      <c r="C145" s="5"/>
    </row>
    <row r="146" spans="3:3">
      <c r="C146" s="5"/>
    </row>
    <row r="147" spans="3:3">
      <c r="C147" s="5"/>
    </row>
    <row r="148" spans="3:3">
      <c r="C148" s="5"/>
    </row>
    <row r="149" spans="3:3">
      <c r="C149" s="5"/>
    </row>
    <row r="150" spans="3:3">
      <c r="C150" s="5"/>
    </row>
    <row r="151" spans="3:3">
      <c r="C151" s="5"/>
    </row>
    <row r="152" spans="3:3">
      <c r="C152" s="5"/>
    </row>
    <row r="153" spans="3:3">
      <c r="C153" s="5"/>
    </row>
    <row r="154" spans="3:3">
      <c r="C154" s="5"/>
    </row>
    <row r="155" spans="3:3">
      <c r="C155" s="5"/>
    </row>
    <row r="156" spans="3:3">
      <c r="C156" s="5"/>
    </row>
    <row r="157" spans="3:3">
      <c r="C157" s="5"/>
    </row>
    <row r="158" spans="3:3">
      <c r="C158" s="5"/>
    </row>
    <row r="159" spans="3:3">
      <c r="C159" s="5"/>
    </row>
    <row r="160" spans="3:3">
      <c r="C160" s="5"/>
    </row>
    <row r="161" spans="3:3">
      <c r="C161" s="5"/>
    </row>
    <row r="162" spans="3:3">
      <c r="C162" s="5"/>
    </row>
    <row r="163" spans="3:3">
      <c r="C163" s="5"/>
    </row>
    <row r="164" spans="3:3">
      <c r="C164" s="5"/>
    </row>
    <row r="165" spans="3:3">
      <c r="C165" s="5"/>
    </row>
    <row r="166" spans="3:3">
      <c r="C166" s="5"/>
    </row>
    <row r="167" spans="3:3">
      <c r="C167" s="5"/>
    </row>
    <row r="168" spans="3:3">
      <c r="C168" s="5"/>
    </row>
    <row r="169" spans="3:3">
      <c r="C169" s="5"/>
    </row>
    <row r="170" spans="3:3">
      <c r="C170" s="5"/>
    </row>
    <row r="171" spans="3:3">
      <c r="C171" s="5"/>
    </row>
    <row r="172" spans="3:3">
      <c r="C172" s="5"/>
    </row>
    <row r="173" spans="3:3">
      <c r="C173" s="5"/>
    </row>
    <row r="174" spans="3:3">
      <c r="C174" s="5"/>
    </row>
    <row r="175" spans="3:3">
      <c r="C175" s="5"/>
    </row>
    <row r="176" spans="3:3">
      <c r="C176" s="5"/>
    </row>
    <row r="177" spans="3:3">
      <c r="C177" s="5"/>
    </row>
    <row r="178" spans="3:3">
      <c r="C178" s="5"/>
    </row>
    <row r="179" spans="3:3">
      <c r="C179" s="5"/>
    </row>
    <row r="180" spans="3:3">
      <c r="C180" s="5"/>
    </row>
    <row r="181" spans="3:3">
      <c r="C181" s="5"/>
    </row>
    <row r="182" spans="3:3">
      <c r="C182" s="5"/>
    </row>
    <row r="183" spans="3:3">
      <c r="C183" s="5"/>
    </row>
    <row r="184" spans="3:3">
      <c r="C184" s="5"/>
    </row>
    <row r="185" spans="3:3">
      <c r="C185" s="5"/>
    </row>
    <row r="186" spans="3:3">
      <c r="C186" s="5"/>
    </row>
    <row r="187" spans="3:3">
      <c r="C187" s="5"/>
    </row>
    <row r="188" spans="3:3">
      <c r="C188" s="5"/>
    </row>
    <row r="189" spans="3:3">
      <c r="C189" s="5"/>
    </row>
    <row r="190" spans="3:3">
      <c r="C190" s="5"/>
    </row>
    <row r="191" spans="3:3">
      <c r="C191" s="5"/>
    </row>
    <row r="192" spans="3:3">
      <c r="C192" s="5"/>
    </row>
    <row r="193" spans="3:3">
      <c r="C193" s="5"/>
    </row>
    <row r="194" spans="3:3">
      <c r="C194" s="5"/>
    </row>
    <row r="195" spans="3:3">
      <c r="C195" s="5"/>
    </row>
    <row r="196" spans="3:3">
      <c r="C196" s="5"/>
    </row>
    <row r="197" spans="3:3">
      <c r="C197" s="5"/>
    </row>
    <row r="198" spans="3:3">
      <c r="C198" s="5"/>
    </row>
    <row r="199" spans="3:3">
      <c r="C199" s="5"/>
    </row>
    <row r="200" spans="3:3">
      <c r="C200" s="5"/>
    </row>
    <row r="201" spans="3:3">
      <c r="C201" s="5"/>
    </row>
    <row r="202" spans="3:3">
      <c r="C202" s="5"/>
    </row>
    <row r="203" spans="3:3">
      <c r="C203" s="5"/>
    </row>
    <row r="204" spans="3:3">
      <c r="C204" s="5"/>
    </row>
    <row r="205" spans="3:3">
      <c r="C205" s="5"/>
    </row>
    <row r="206" spans="3:3">
      <c r="C206" s="5"/>
    </row>
    <row r="207" spans="3:3">
      <c r="C207" s="5"/>
    </row>
    <row r="208" spans="3:3">
      <c r="C208" s="5"/>
    </row>
    <row r="209" spans="3:3">
      <c r="C209" s="5"/>
    </row>
    <row r="210" spans="3:3">
      <c r="C210" s="5"/>
    </row>
    <row r="211" spans="3:3">
      <c r="C211" s="5"/>
    </row>
    <row r="212" spans="3:3">
      <c r="C212" s="5"/>
    </row>
    <row r="213" spans="3:3">
      <c r="C213" s="5"/>
    </row>
    <row r="214" spans="3:3">
      <c r="C214" s="5"/>
    </row>
    <row r="215" spans="3:3">
      <c r="C215" s="5"/>
    </row>
    <row r="216" spans="3:3">
      <c r="C216" s="5"/>
    </row>
    <row r="217" spans="3:3">
      <c r="C217" s="5"/>
    </row>
    <row r="218" spans="3:3">
      <c r="C218" s="5"/>
    </row>
    <row r="219" spans="3:3">
      <c r="C219" s="5"/>
    </row>
    <row r="220" spans="3:3">
      <c r="C220" s="5"/>
    </row>
    <row r="221" spans="3:3">
      <c r="C221" s="5"/>
    </row>
    <row r="222" spans="3:3">
      <c r="C222" s="5"/>
    </row>
    <row r="223" spans="3:3">
      <c r="C223" s="5"/>
    </row>
    <row r="224" spans="3:3">
      <c r="C224" s="5"/>
    </row>
    <row r="225" spans="3:3">
      <c r="C225" s="5"/>
    </row>
    <row r="226" spans="3:3">
      <c r="C226" s="5"/>
    </row>
    <row r="227" spans="3:3">
      <c r="C227" s="5"/>
    </row>
    <row r="228" spans="3:3">
      <c r="C228" s="5"/>
    </row>
    <row r="229" spans="3:3">
      <c r="C229" s="5"/>
    </row>
    <row r="230" spans="3:3">
      <c r="C230" s="5"/>
    </row>
    <row r="231" spans="3:3">
      <c r="C231" s="5"/>
    </row>
    <row r="232" spans="3:3">
      <c r="C232" s="5"/>
    </row>
    <row r="233" spans="3:3">
      <c r="C233" s="5"/>
    </row>
    <row r="234" spans="3:3">
      <c r="C234" s="5"/>
    </row>
    <row r="235" spans="3:3">
      <c r="C235" s="5"/>
    </row>
    <row r="236" spans="3:3">
      <c r="C236" s="5"/>
    </row>
    <row r="237" spans="3:3">
      <c r="C237" s="5"/>
    </row>
    <row r="238" spans="3:3">
      <c r="C238" s="5"/>
    </row>
    <row r="239" spans="3:3">
      <c r="C239" s="5"/>
    </row>
    <row r="240" spans="3:3">
      <c r="C240" s="5"/>
    </row>
    <row r="241" spans="3:3">
      <c r="C241" s="5"/>
    </row>
    <row r="242" spans="3:3">
      <c r="C242" s="5"/>
    </row>
    <row r="243" spans="3:3">
      <c r="C243" s="5"/>
    </row>
    <row r="244" spans="3:3">
      <c r="C244" s="5"/>
    </row>
    <row r="245" spans="3:3">
      <c r="C245" s="5"/>
    </row>
    <row r="246" spans="3:3">
      <c r="C246" s="5"/>
    </row>
    <row r="247" spans="3:3">
      <c r="C247" s="5"/>
    </row>
    <row r="248" spans="3:3">
      <c r="C248" s="5"/>
    </row>
    <row r="249" spans="3:3">
      <c r="C249" s="5"/>
    </row>
    <row r="250" spans="3:3">
      <c r="C250" s="5"/>
    </row>
    <row r="251" spans="3:3">
      <c r="C251" s="5"/>
    </row>
    <row r="252" spans="3:3">
      <c r="C252" s="5"/>
    </row>
    <row r="253" spans="3:3">
      <c r="C253" s="5"/>
    </row>
    <row r="254" spans="3:3">
      <c r="C254" s="5"/>
    </row>
    <row r="255" spans="3:3">
      <c r="C255" s="5"/>
    </row>
    <row r="256" spans="3:3">
      <c r="C256" s="5"/>
    </row>
    <row r="257" spans="3:3">
      <c r="C257" s="5"/>
    </row>
    <row r="258" spans="3:3">
      <c r="C258" s="5"/>
    </row>
    <row r="259" spans="3:3">
      <c r="C259" s="5"/>
    </row>
    <row r="260" spans="3:3">
      <c r="C260" s="5"/>
    </row>
    <row r="261" spans="3:3">
      <c r="C261" s="5"/>
    </row>
    <row r="262" spans="3:3">
      <c r="C262" s="5"/>
    </row>
    <row r="263" spans="3:3">
      <c r="C263" s="5"/>
    </row>
    <row r="264" spans="3:3">
      <c r="C264" s="5"/>
    </row>
    <row r="265" spans="3:3">
      <c r="C265" s="5"/>
    </row>
    <row r="266" spans="3:3">
      <c r="C266" s="5"/>
    </row>
    <row r="267" spans="3:3">
      <c r="C267" s="5"/>
    </row>
    <row r="268" spans="3:3">
      <c r="C268" s="5"/>
    </row>
    <row r="269" spans="3:3">
      <c r="C269" s="5"/>
    </row>
    <row r="270" spans="3:3">
      <c r="C270" s="5"/>
    </row>
    <row r="271" spans="3:3">
      <c r="C271" s="5"/>
    </row>
    <row r="272" spans="3:3">
      <c r="C272" s="5"/>
    </row>
    <row r="273" spans="3:3">
      <c r="C273" s="5"/>
    </row>
    <row r="274" spans="3:3">
      <c r="C274" s="5"/>
    </row>
    <row r="275" spans="3:3">
      <c r="C275" s="5"/>
    </row>
    <row r="276" spans="3:3">
      <c r="C276" s="5"/>
    </row>
    <row r="277" spans="3:3">
      <c r="C277" s="5"/>
    </row>
    <row r="278" spans="3:3">
      <c r="C278" s="5"/>
    </row>
    <row r="279" spans="3:3">
      <c r="C279" s="5"/>
    </row>
    <row r="280" spans="3:3">
      <c r="C280" s="5"/>
    </row>
    <row r="281" spans="3:3">
      <c r="C281" s="5"/>
    </row>
    <row r="282" spans="3:3">
      <c r="C282" s="5"/>
    </row>
    <row r="283" spans="3:3">
      <c r="C283" s="5"/>
    </row>
    <row r="284" spans="3:3">
      <c r="C284" s="5"/>
    </row>
    <row r="285" spans="3:3">
      <c r="C285" s="5"/>
    </row>
    <row r="286" spans="3:3">
      <c r="C286" s="5"/>
    </row>
    <row r="287" spans="3:3">
      <c r="C287" s="5"/>
    </row>
    <row r="288" spans="3:3">
      <c r="C288" s="5"/>
    </row>
    <row r="289" spans="3:3">
      <c r="C289" s="5"/>
    </row>
    <row r="290" spans="3:3">
      <c r="C290" s="5"/>
    </row>
    <row r="291" spans="3:3">
      <c r="C291" s="5"/>
    </row>
    <row r="292" spans="3:3">
      <c r="C292" s="5"/>
    </row>
    <row r="293" spans="3:3">
      <c r="C293" s="5"/>
    </row>
    <row r="294" spans="3:3">
      <c r="C294" s="5"/>
    </row>
    <row r="295" spans="3:3">
      <c r="C295" s="5"/>
    </row>
    <row r="296" spans="3:3">
      <c r="C296" s="5"/>
    </row>
    <row r="297" spans="3:3">
      <c r="C297" s="5"/>
    </row>
    <row r="298" spans="3:3">
      <c r="C298" s="5"/>
    </row>
    <row r="299" spans="3:3">
      <c r="C299" s="5"/>
    </row>
    <row r="300" spans="3:3">
      <c r="C300" s="5"/>
    </row>
    <row r="301" spans="3:3">
      <c r="C301" s="5"/>
    </row>
    <row r="302" spans="3:3">
      <c r="C302" s="5"/>
    </row>
    <row r="303" spans="3:3">
      <c r="C303" s="5"/>
    </row>
    <row r="304" spans="3:3">
      <c r="C304" s="5"/>
    </row>
    <row r="305" spans="3:3">
      <c r="C305" s="5"/>
    </row>
    <row r="306" spans="3:3">
      <c r="C306" s="5"/>
    </row>
    <row r="307" spans="3:3">
      <c r="C307" s="5"/>
    </row>
    <row r="308" spans="3:3">
      <c r="C308" s="5"/>
    </row>
    <row r="309" spans="3:3">
      <c r="C309" s="5"/>
    </row>
    <row r="310" spans="3:3">
      <c r="C310" s="5"/>
    </row>
    <row r="311" spans="3:3">
      <c r="C311" s="5"/>
    </row>
    <row r="312" spans="3:3">
      <c r="C312" s="5"/>
    </row>
    <row r="313" spans="3:3">
      <c r="C313" s="5"/>
    </row>
    <row r="314" spans="3:3">
      <c r="C314" s="5"/>
    </row>
    <row r="315" spans="3:3">
      <c r="C315" s="5"/>
    </row>
    <row r="316" spans="3:3">
      <c r="C316" s="5"/>
    </row>
    <row r="317" spans="3:3">
      <c r="C317" s="5"/>
    </row>
    <row r="318" spans="3:3">
      <c r="C318" s="5"/>
    </row>
    <row r="319" spans="3:3">
      <c r="C319" s="5"/>
    </row>
    <row r="320" spans="3:3">
      <c r="C320" s="5"/>
    </row>
    <row r="321" spans="3:3">
      <c r="C321" s="5"/>
    </row>
    <row r="322" spans="3:3">
      <c r="C322" s="5"/>
    </row>
    <row r="323" spans="3:3">
      <c r="C323" s="5"/>
    </row>
    <row r="324" spans="3:3">
      <c r="C324" s="5"/>
    </row>
    <row r="325" spans="3:3">
      <c r="C325" s="5"/>
    </row>
    <row r="326" spans="3:3">
      <c r="C326" s="5"/>
    </row>
    <row r="327" spans="3:3">
      <c r="C327" s="5"/>
    </row>
    <row r="328" spans="3:3">
      <c r="C328" s="5"/>
    </row>
    <row r="329" spans="3:3">
      <c r="C329" s="5"/>
    </row>
    <row r="330" spans="3:3">
      <c r="C330" s="5"/>
    </row>
    <row r="331" spans="3:3">
      <c r="C331" s="5"/>
    </row>
    <row r="332" spans="3:3">
      <c r="C332" s="5"/>
    </row>
    <row r="333" spans="3:3">
      <c r="C333" s="5"/>
    </row>
    <row r="334" spans="3:3">
      <c r="C334" s="5"/>
    </row>
    <row r="335" spans="3:3">
      <c r="C335" s="5"/>
    </row>
    <row r="336" spans="3:3">
      <c r="C336" s="5"/>
    </row>
    <row r="337" spans="3:3">
      <c r="C337" s="5"/>
    </row>
    <row r="338" spans="3:3">
      <c r="C338" s="5"/>
    </row>
    <row r="339" spans="3:3">
      <c r="C339" s="5"/>
    </row>
    <row r="340" spans="3:3">
      <c r="C340" s="5"/>
    </row>
    <row r="341" spans="3:3">
      <c r="C341" s="5"/>
    </row>
    <row r="342" spans="3:3">
      <c r="C342" s="5"/>
    </row>
    <row r="343" spans="3:3">
      <c r="C343" s="5"/>
    </row>
    <row r="344" spans="3:3">
      <c r="C344" s="5"/>
    </row>
    <row r="345" spans="3:3">
      <c r="C345" s="5"/>
    </row>
    <row r="346" spans="3:3">
      <c r="C346" s="5"/>
    </row>
    <row r="347" spans="3:3">
      <c r="C347" s="5"/>
    </row>
    <row r="348" spans="3:3">
      <c r="C348" s="5"/>
    </row>
    <row r="349" spans="3:3">
      <c r="C349" s="5"/>
    </row>
    <row r="350" spans="3:3">
      <c r="C350" s="5"/>
    </row>
    <row r="351" spans="3:3">
      <c r="C351" s="5"/>
    </row>
    <row r="352" spans="3:3">
      <c r="C352" s="5"/>
    </row>
    <row r="353" spans="3:3">
      <c r="C353" s="5"/>
    </row>
    <row r="354" spans="3:3">
      <c r="C354" s="5"/>
    </row>
    <row r="355" spans="3:3">
      <c r="C355" s="5"/>
    </row>
    <row r="356" spans="3:3">
      <c r="C356" s="5"/>
    </row>
    <row r="357" spans="3:3">
      <c r="C357" s="5"/>
    </row>
    <row r="358" spans="3:3">
      <c r="C358" s="5"/>
    </row>
    <row r="359" spans="3:3">
      <c r="C359" s="5"/>
    </row>
    <row r="360" spans="3:3">
      <c r="C360" s="5"/>
    </row>
    <row r="361" spans="3:3">
      <c r="C361" s="5"/>
    </row>
    <row r="362" spans="3:3">
      <c r="C362" s="5"/>
    </row>
    <row r="363" spans="3:3">
      <c r="C363" s="5"/>
    </row>
    <row r="364" spans="3:3">
      <c r="C364" s="5"/>
    </row>
    <row r="365" spans="3:3">
      <c r="C365" s="5"/>
    </row>
    <row r="366" spans="3:3">
      <c r="C366" s="5"/>
    </row>
    <row r="367" spans="3:3">
      <c r="C367" s="5"/>
    </row>
    <row r="368" spans="3:3">
      <c r="C368" s="5"/>
    </row>
    <row r="369" spans="3:3">
      <c r="C369" s="5"/>
    </row>
    <row r="370" spans="3:3">
      <c r="C370" s="5"/>
    </row>
    <row r="371" spans="3:3">
      <c r="C371" s="5"/>
    </row>
    <row r="372" spans="3:3">
      <c r="C372" s="5"/>
    </row>
    <row r="373" spans="3:3">
      <c r="C373" s="5"/>
    </row>
    <row r="374" spans="3:3">
      <c r="C374" s="5"/>
    </row>
    <row r="375" spans="3:3">
      <c r="C375" s="5"/>
    </row>
    <row r="376" spans="3:3">
      <c r="C376" s="5"/>
    </row>
    <row r="377" spans="3:3">
      <c r="C377" s="5"/>
    </row>
    <row r="378" spans="3:3">
      <c r="C378" s="5"/>
    </row>
    <row r="379" spans="3:3">
      <c r="C379" s="5"/>
    </row>
    <row r="380" spans="3:3">
      <c r="C380" s="5"/>
    </row>
    <row r="381" spans="3:3">
      <c r="C381" s="5"/>
    </row>
    <row r="382" spans="3:3">
      <c r="C382" s="5"/>
    </row>
    <row r="383" spans="3:3">
      <c r="C383" s="5"/>
    </row>
    <row r="384" spans="3:3">
      <c r="C384" s="5"/>
    </row>
    <row r="385" spans="3:3">
      <c r="C385" s="5"/>
    </row>
    <row r="386" spans="3:3">
      <c r="C386" s="5"/>
    </row>
    <row r="387" spans="3:3">
      <c r="C387" s="5"/>
    </row>
    <row r="388" spans="3:3">
      <c r="C388" s="5"/>
    </row>
    <row r="389" spans="3:3">
      <c r="C389" s="5"/>
    </row>
    <row r="390" spans="3:3">
      <c r="C390" s="5"/>
    </row>
    <row r="391" spans="3:3">
      <c r="C391" s="5"/>
    </row>
    <row r="392" spans="3:3">
      <c r="C392" s="5"/>
    </row>
    <row r="393" spans="3:3">
      <c r="C393" s="5"/>
    </row>
    <row r="394" spans="3:3">
      <c r="C394" s="5"/>
    </row>
    <row r="395" spans="3:3">
      <c r="C395" s="5"/>
    </row>
    <row r="396" spans="3:3">
      <c r="C396" s="5"/>
    </row>
    <row r="397" spans="3:3">
      <c r="C397" s="5"/>
    </row>
    <row r="398" spans="3:3">
      <c r="C398" s="5"/>
    </row>
    <row r="399" spans="3:3">
      <c r="C399" s="5"/>
    </row>
    <row r="400" spans="3:3">
      <c r="C400" s="5"/>
    </row>
    <row r="401" spans="3:3">
      <c r="C401" s="5"/>
    </row>
    <row r="402" spans="3:3">
      <c r="C402" s="5"/>
    </row>
    <row r="403" spans="3:3">
      <c r="C403" s="5"/>
    </row>
    <row r="404" spans="3:3">
      <c r="C404" s="5"/>
    </row>
    <row r="405" spans="3:3">
      <c r="C405" s="5"/>
    </row>
    <row r="406" spans="3:3">
      <c r="C406" s="5"/>
    </row>
    <row r="407" spans="3:3">
      <c r="C407" s="5"/>
    </row>
    <row r="408" spans="3:3">
      <c r="C408" s="5"/>
    </row>
    <row r="409" spans="3:3">
      <c r="C409" s="5"/>
    </row>
    <row r="410" spans="3:3">
      <c r="C410" s="5"/>
    </row>
    <row r="411" spans="3:3">
      <c r="C411" s="5"/>
    </row>
    <row r="412" spans="3:3">
      <c r="C412" s="5"/>
    </row>
    <row r="413" spans="3:3">
      <c r="C413" s="5"/>
    </row>
    <row r="414" spans="3:3">
      <c r="C414" s="5"/>
    </row>
    <row r="415" spans="3:3">
      <c r="C415" s="5"/>
    </row>
    <row r="416" spans="3:3">
      <c r="C416" s="5"/>
    </row>
    <row r="417" spans="3:3">
      <c r="C417" s="5"/>
    </row>
    <row r="418" spans="3:3">
      <c r="C418" s="5"/>
    </row>
    <row r="419" spans="3:3">
      <c r="C419" s="5"/>
    </row>
    <row r="420" spans="3:3">
      <c r="C420" s="5"/>
    </row>
    <row r="421" spans="3:3">
      <c r="C421" s="5"/>
    </row>
    <row r="422" spans="3:3">
      <c r="C422" s="5"/>
    </row>
    <row r="423" spans="3:3">
      <c r="C423" s="5"/>
    </row>
    <row r="424" spans="3:3">
      <c r="C424" s="5"/>
    </row>
    <row r="425" spans="3:3">
      <c r="C425" s="5"/>
    </row>
    <row r="426" spans="3:3">
      <c r="C426" s="5"/>
    </row>
    <row r="427" spans="3:3">
      <c r="C427" s="5"/>
    </row>
    <row r="428" spans="3:3">
      <c r="C428" s="5"/>
    </row>
    <row r="429" spans="3:3">
      <c r="C429" s="5"/>
    </row>
    <row r="430" spans="3:3">
      <c r="C430" s="5"/>
    </row>
    <row r="431" spans="3:3">
      <c r="C431" s="5"/>
    </row>
    <row r="432" spans="3:3">
      <c r="C432" s="5"/>
    </row>
    <row r="433" spans="3:3">
      <c r="C433" s="5"/>
    </row>
    <row r="434" spans="3:3">
      <c r="C434" s="5"/>
    </row>
    <row r="435" spans="3:3">
      <c r="C435" s="5"/>
    </row>
    <row r="436" spans="3:3">
      <c r="C436" s="5"/>
    </row>
    <row r="437" spans="3:3">
      <c r="C437" s="5"/>
    </row>
    <row r="438" spans="3:3">
      <c r="C438" s="5"/>
    </row>
    <row r="439" spans="3:3">
      <c r="C439" s="5"/>
    </row>
    <row r="440" spans="3:3">
      <c r="C440" s="5"/>
    </row>
    <row r="441" spans="3:3">
      <c r="C441" s="5"/>
    </row>
    <row r="442" spans="3:3">
      <c r="C442" s="5"/>
    </row>
    <row r="443" spans="3:3">
      <c r="C443" s="5"/>
    </row>
    <row r="444" spans="3:3">
      <c r="C444" s="5"/>
    </row>
    <row r="445" spans="3:3">
      <c r="C445" s="5"/>
    </row>
    <row r="446" spans="3:3">
      <c r="C446" s="5"/>
    </row>
    <row r="447" spans="3:3">
      <c r="C447" s="5"/>
    </row>
    <row r="448" spans="3:3">
      <c r="C448" s="5"/>
    </row>
    <row r="449" spans="3:3">
      <c r="C449" s="5"/>
    </row>
    <row r="450" spans="3:3">
      <c r="C450" s="5"/>
    </row>
    <row r="451" spans="3:3">
      <c r="C451" s="5"/>
    </row>
    <row r="452" spans="3:3">
      <c r="C452" s="5"/>
    </row>
    <row r="453" spans="3:3">
      <c r="C453" s="5"/>
    </row>
    <row r="454" spans="3:3">
      <c r="C454" s="5"/>
    </row>
    <row r="455" spans="3:3">
      <c r="C455" s="5"/>
    </row>
    <row r="456" spans="3:3">
      <c r="C456" s="5"/>
    </row>
    <row r="457" spans="3:3">
      <c r="C457" s="5"/>
    </row>
    <row r="458" spans="3:3">
      <c r="C458" s="5"/>
    </row>
    <row r="459" spans="3:3">
      <c r="C459" s="5"/>
    </row>
    <row r="460" spans="3:3">
      <c r="C460" s="5"/>
    </row>
    <row r="461" spans="3:3">
      <c r="C461" s="5"/>
    </row>
    <row r="462" spans="3:3">
      <c r="C462" s="5"/>
    </row>
    <row r="463" spans="3:3">
      <c r="C463" s="5"/>
    </row>
    <row r="464" spans="3:3">
      <c r="C464" s="5"/>
    </row>
    <row r="465" spans="3:3">
      <c r="C465" s="5"/>
    </row>
    <row r="466" spans="3:3">
      <c r="C466" s="5"/>
    </row>
    <row r="467" spans="3:3">
      <c r="C467" s="5"/>
    </row>
    <row r="468" spans="3:3">
      <c r="C468" s="5"/>
    </row>
    <row r="469" spans="3:3">
      <c r="C469" s="5"/>
    </row>
    <row r="470" spans="3:3">
      <c r="C470" s="5"/>
    </row>
    <row r="471" spans="3:3">
      <c r="C471" s="5"/>
    </row>
    <row r="472" spans="3:3">
      <c r="C472" s="5"/>
    </row>
    <row r="473" spans="3:3">
      <c r="C473" s="5"/>
    </row>
    <row r="474" spans="3:3">
      <c r="C474" s="5"/>
    </row>
    <row r="475" spans="3:3">
      <c r="C475" s="5"/>
    </row>
    <row r="476" spans="3:3">
      <c r="C476" s="5"/>
    </row>
    <row r="477" spans="3:3">
      <c r="C477" s="5"/>
    </row>
    <row r="478" spans="3:3">
      <c r="C478" s="5"/>
    </row>
    <row r="479" spans="3:3">
      <c r="C479" s="5"/>
    </row>
    <row r="480" spans="3:3">
      <c r="C480" s="5"/>
    </row>
    <row r="481" spans="3:3">
      <c r="C481" s="5"/>
    </row>
    <row r="482" spans="3:3">
      <c r="C482" s="5"/>
    </row>
    <row r="483" spans="3:3">
      <c r="C483" s="5"/>
    </row>
    <row r="484" spans="3:3">
      <c r="C484" s="5"/>
    </row>
    <row r="485" spans="3:3">
      <c r="C485" s="5"/>
    </row>
    <row r="486" spans="3:3">
      <c r="C486" s="5"/>
    </row>
    <row r="487" spans="3:3">
      <c r="C487" s="5"/>
    </row>
    <row r="488" spans="3:3">
      <c r="C488" s="5"/>
    </row>
    <row r="489" spans="3:3">
      <c r="C489" s="5"/>
    </row>
    <row r="490" spans="3:3">
      <c r="C490" s="5"/>
    </row>
    <row r="491" spans="3:3">
      <c r="C491" s="5"/>
    </row>
    <row r="492" spans="3:3">
      <c r="C492" s="5"/>
    </row>
    <row r="493" spans="3:3">
      <c r="C493" s="5"/>
    </row>
    <row r="494" spans="3:3">
      <c r="C494" s="5"/>
    </row>
    <row r="495" spans="3:3">
      <c r="C495" s="5"/>
    </row>
    <row r="496" spans="3:3">
      <c r="C496" s="5"/>
    </row>
    <row r="497" spans="3:3">
      <c r="C497" s="5"/>
    </row>
    <row r="498" spans="3:3">
      <c r="C498" s="5"/>
    </row>
    <row r="499" spans="3:3">
      <c r="C499" s="5"/>
    </row>
    <row r="500" spans="3:3">
      <c r="C500" s="5"/>
    </row>
    <row r="501" spans="3:3">
      <c r="C501" s="5"/>
    </row>
    <row r="502" spans="3:3">
      <c r="C502" s="5"/>
    </row>
    <row r="503" spans="3:3">
      <c r="C503" s="5"/>
    </row>
    <row r="504" spans="3:3">
      <c r="C504" s="5"/>
    </row>
    <row r="505" spans="3:3">
      <c r="C505" s="5"/>
    </row>
    <row r="506" spans="3:3">
      <c r="C506" s="5"/>
    </row>
    <row r="507" spans="3:3">
      <c r="C507" s="5"/>
    </row>
    <row r="508" spans="3:3">
      <c r="C508" s="5"/>
    </row>
    <row r="509" spans="3:3">
      <c r="C509" s="5"/>
    </row>
    <row r="510" spans="3:3">
      <c r="C510" s="5"/>
    </row>
    <row r="511" spans="3:3">
      <c r="C511" s="5"/>
    </row>
    <row r="512" spans="3:3">
      <c r="C512" s="5"/>
    </row>
    <row r="513" spans="3:3">
      <c r="C513" s="5"/>
    </row>
    <row r="514" spans="3:3">
      <c r="C514" s="5"/>
    </row>
    <row r="515" spans="3:3">
      <c r="C515" s="5"/>
    </row>
    <row r="516" spans="3:3">
      <c r="C516" s="5"/>
    </row>
    <row r="517" spans="3:3">
      <c r="C517" s="5"/>
    </row>
    <row r="518" spans="3:3">
      <c r="C518" s="5"/>
    </row>
    <row r="519" spans="3:3">
      <c r="C519" s="5"/>
    </row>
    <row r="520" spans="3:3">
      <c r="C520" s="5"/>
    </row>
    <row r="521" spans="3:3">
      <c r="C521" s="5"/>
    </row>
    <row r="522" spans="3:3">
      <c r="C522" s="5"/>
    </row>
    <row r="523" spans="3:3">
      <c r="C523" s="5"/>
    </row>
    <row r="524" spans="3:3">
      <c r="C524" s="5"/>
    </row>
    <row r="525" spans="3:3">
      <c r="C525" s="5"/>
    </row>
    <row r="526" spans="3:3">
      <c r="C526" s="5"/>
    </row>
    <row r="527" spans="3:3">
      <c r="C527" s="5"/>
    </row>
    <row r="528" spans="3:3">
      <c r="C528" s="5"/>
    </row>
    <row r="529" spans="3:3">
      <c r="C529" s="5"/>
    </row>
    <row r="530" spans="3:3">
      <c r="C530" s="5"/>
    </row>
    <row r="531" spans="3:3">
      <c r="C531" s="5"/>
    </row>
    <row r="532" spans="3:3">
      <c r="C532" s="5"/>
    </row>
    <row r="533" spans="3:3">
      <c r="C533" s="5"/>
    </row>
    <row r="534" spans="3:3">
      <c r="C534" s="5"/>
    </row>
    <row r="535" spans="3:3">
      <c r="C535" s="5"/>
    </row>
    <row r="536" spans="3:3">
      <c r="C536" s="5"/>
    </row>
    <row r="537" spans="3:3">
      <c r="C537" s="5"/>
    </row>
    <row r="538" spans="3:3">
      <c r="C538" s="5"/>
    </row>
    <row r="539" spans="3:3">
      <c r="C539" s="5"/>
    </row>
    <row r="540" spans="3:3">
      <c r="C540" s="5"/>
    </row>
    <row r="541" spans="3:3">
      <c r="C541" s="5"/>
    </row>
    <row r="542" spans="3:3">
      <c r="C542" s="5"/>
    </row>
    <row r="543" spans="3:3">
      <c r="C543" s="5"/>
    </row>
    <row r="544" spans="3:3">
      <c r="C544" s="5"/>
    </row>
    <row r="545" spans="3:3">
      <c r="C545" s="5"/>
    </row>
    <row r="546" spans="3:3">
      <c r="C546" s="5"/>
    </row>
    <row r="547" spans="3:3">
      <c r="C547" s="5"/>
    </row>
    <row r="548" spans="3:3">
      <c r="C548" s="5"/>
    </row>
    <row r="549" spans="3:3">
      <c r="C549" s="5"/>
    </row>
    <row r="550" spans="3:3">
      <c r="C550" s="5"/>
    </row>
    <row r="551" spans="3:3">
      <c r="C551" s="5"/>
    </row>
    <row r="552" spans="3:3">
      <c r="C552" s="5"/>
    </row>
    <row r="553" spans="3:3">
      <c r="C553" s="5"/>
    </row>
    <row r="554" spans="3:3">
      <c r="C554" s="5"/>
    </row>
    <row r="555" spans="3:3">
      <c r="C555" s="5"/>
    </row>
    <row r="556" spans="3:3">
      <c r="C556" s="5"/>
    </row>
    <row r="557" spans="3:3">
      <c r="C557" s="5"/>
    </row>
    <row r="558" spans="3:3">
      <c r="C558" s="5"/>
    </row>
    <row r="559" spans="3:3">
      <c r="C559" s="5"/>
    </row>
    <row r="560" spans="3:3">
      <c r="C560" s="5"/>
    </row>
    <row r="561" spans="3:3">
      <c r="C561" s="5"/>
    </row>
    <row r="562" spans="3:3">
      <c r="C562" s="5"/>
    </row>
    <row r="563" spans="3:3">
      <c r="C563" s="5"/>
    </row>
    <row r="564" spans="3:3">
      <c r="C564" s="5"/>
    </row>
    <row r="565" spans="3:3">
      <c r="C565" s="5"/>
    </row>
    <row r="566" spans="3:3">
      <c r="C566" s="5"/>
    </row>
    <row r="567" spans="3:3">
      <c r="C567" s="5"/>
    </row>
    <row r="568" spans="3:3">
      <c r="C568" s="5"/>
    </row>
    <row r="569" spans="3:3">
      <c r="C569" s="5"/>
    </row>
    <row r="570" spans="3:3">
      <c r="C570" s="5"/>
    </row>
    <row r="571" spans="3:3">
      <c r="C571" s="5"/>
    </row>
    <row r="572" spans="3:3">
      <c r="C572" s="5"/>
    </row>
    <row r="573" spans="3:3">
      <c r="C573" s="5"/>
    </row>
    <row r="574" spans="3:3">
      <c r="C574" s="5"/>
    </row>
    <row r="575" spans="3:3">
      <c r="C575" s="5"/>
    </row>
    <row r="576" spans="3:3">
      <c r="C576" s="5"/>
    </row>
    <row r="577" spans="3:3">
      <c r="C577" s="5"/>
    </row>
    <row r="578" spans="3:3">
      <c r="C578" s="5"/>
    </row>
    <row r="579" spans="3:3">
      <c r="C579" s="5"/>
    </row>
    <row r="580" spans="3:3">
      <c r="C580" s="5"/>
    </row>
    <row r="581" spans="3:3">
      <c r="C581" s="5"/>
    </row>
    <row r="582" spans="3:3">
      <c r="C582" s="5"/>
    </row>
    <row r="583" spans="3:3">
      <c r="C583" s="5"/>
    </row>
    <row r="584" spans="3:3">
      <c r="C584" s="5"/>
    </row>
    <row r="585" spans="3:3">
      <c r="C585" s="5"/>
    </row>
    <row r="586" spans="3:3">
      <c r="C586" s="5"/>
    </row>
    <row r="587" spans="3:3">
      <c r="C587" s="5"/>
    </row>
    <row r="588" spans="3:3">
      <c r="C588" s="5"/>
    </row>
    <row r="589" spans="3:3">
      <c r="C589" s="5"/>
    </row>
    <row r="590" spans="3:3">
      <c r="C590" s="5"/>
    </row>
    <row r="591" spans="3:3">
      <c r="C591" s="5"/>
    </row>
    <row r="592" spans="3:3">
      <c r="C592" s="5"/>
    </row>
    <row r="593" spans="3:3">
      <c r="C593" s="5"/>
    </row>
    <row r="594" spans="3:3">
      <c r="C594" s="5"/>
    </row>
    <row r="595" spans="3:3">
      <c r="C595" s="5"/>
    </row>
    <row r="596" spans="3:3">
      <c r="C596" s="5"/>
    </row>
    <row r="597" spans="3:3">
      <c r="C597" s="5"/>
    </row>
    <row r="598" spans="3:3">
      <c r="C598" s="5"/>
    </row>
    <row r="599" spans="3:3">
      <c r="C599" s="5"/>
    </row>
    <row r="600" spans="3:3">
      <c r="C600" s="5"/>
    </row>
    <row r="601" spans="3:3">
      <c r="C601" s="5"/>
    </row>
    <row r="602" spans="3:3">
      <c r="C602" s="5"/>
    </row>
    <row r="603" spans="3:3">
      <c r="C603" s="5"/>
    </row>
    <row r="604" spans="3:3">
      <c r="C604" s="5"/>
    </row>
    <row r="605" spans="3:3">
      <c r="C605" s="5"/>
    </row>
    <row r="606" spans="3:3">
      <c r="C606" s="5"/>
    </row>
    <row r="607" spans="3:3">
      <c r="C607" s="5"/>
    </row>
    <row r="608" spans="3:3">
      <c r="C608" s="5"/>
    </row>
    <row r="609" spans="3:3">
      <c r="C609" s="5"/>
    </row>
    <row r="610" spans="3:3">
      <c r="C610" s="5"/>
    </row>
    <row r="611" spans="3:3">
      <c r="C611" s="5"/>
    </row>
    <row r="612" spans="3:3">
      <c r="C612" s="5"/>
    </row>
    <row r="613" spans="3:3">
      <c r="C613" s="5"/>
    </row>
    <row r="614" spans="3:3">
      <c r="C614" s="5"/>
    </row>
    <row r="615" spans="3:3">
      <c r="C615" s="5"/>
    </row>
    <row r="616" spans="3:3">
      <c r="C616" s="5"/>
    </row>
    <row r="617" spans="3:3">
      <c r="C617" s="5"/>
    </row>
    <row r="618" spans="3:3">
      <c r="C618" s="5"/>
    </row>
    <row r="619" spans="3:3">
      <c r="C619" s="5"/>
    </row>
    <row r="620" spans="3:3">
      <c r="C620" s="5"/>
    </row>
    <row r="621" spans="3:3">
      <c r="C621" s="5"/>
    </row>
    <row r="622" spans="3:3">
      <c r="C622" s="5"/>
    </row>
    <row r="623" spans="3:3">
      <c r="C623" s="5"/>
    </row>
    <row r="624" spans="3:3">
      <c r="C624" s="5"/>
    </row>
    <row r="625" spans="3:3">
      <c r="C625" s="5"/>
    </row>
    <row r="626" spans="3:3">
      <c r="C626" s="5"/>
    </row>
    <row r="627" spans="3:3">
      <c r="C627" s="5"/>
    </row>
    <row r="628" spans="3:3">
      <c r="C628" s="5"/>
    </row>
    <row r="629" spans="3:3">
      <c r="C629" s="5"/>
    </row>
    <row r="630" spans="3:3">
      <c r="C630" s="5"/>
    </row>
    <row r="631" spans="3:3">
      <c r="C631" s="5"/>
    </row>
    <row r="632" spans="3:3">
      <c r="C632" s="5"/>
    </row>
    <row r="633" spans="3:3">
      <c r="C633" s="5"/>
    </row>
    <row r="634" spans="3:3">
      <c r="C634" s="5"/>
    </row>
    <row r="635" spans="3:3">
      <c r="C635" s="5"/>
    </row>
    <row r="636" spans="3:3">
      <c r="C636" s="5"/>
    </row>
    <row r="637" spans="3:3">
      <c r="C637" s="5"/>
    </row>
    <row r="638" spans="3:3">
      <c r="C638" s="5"/>
    </row>
    <row r="639" spans="3:3">
      <c r="C639" s="5"/>
    </row>
    <row r="640" spans="3:3">
      <c r="C640" s="5"/>
    </row>
    <row r="641" spans="3:3">
      <c r="C641" s="5"/>
    </row>
    <row r="642" spans="3:3">
      <c r="C642" s="5"/>
    </row>
    <row r="643" spans="3:3">
      <c r="C643" s="5"/>
    </row>
    <row r="644" spans="3:3">
      <c r="C644" s="5"/>
    </row>
    <row r="645" spans="3:3">
      <c r="C645" s="5"/>
    </row>
    <row r="646" spans="3:3">
      <c r="C646" s="5"/>
    </row>
    <row r="647" spans="3:3">
      <c r="C647" s="5"/>
    </row>
    <row r="648" spans="3:3">
      <c r="C648" s="5"/>
    </row>
    <row r="649" spans="3:3">
      <c r="C649" s="5"/>
    </row>
    <row r="650" spans="3:3">
      <c r="C650" s="5"/>
    </row>
    <row r="651" spans="3:3">
      <c r="C651" s="5"/>
    </row>
    <row r="652" spans="3:3">
      <c r="C652" s="5"/>
    </row>
    <row r="653" spans="3:3">
      <c r="C653" s="5"/>
    </row>
    <row r="654" spans="3:3">
      <c r="C654" s="5"/>
    </row>
    <row r="655" spans="3:3">
      <c r="C655" s="5"/>
    </row>
    <row r="656" spans="3:3">
      <c r="C656" s="5"/>
    </row>
    <row r="657" spans="3:3">
      <c r="C657" s="5"/>
    </row>
    <row r="658" spans="3:3">
      <c r="C658" s="5"/>
    </row>
    <row r="659" spans="3:3">
      <c r="C659" s="5"/>
    </row>
    <row r="660" spans="3:3">
      <c r="C660" s="5"/>
    </row>
    <row r="661" spans="3:3">
      <c r="C661" s="5"/>
    </row>
    <row r="662" spans="3:3">
      <c r="C662" s="5"/>
    </row>
    <row r="663" spans="3:3">
      <c r="C663" s="5"/>
    </row>
    <row r="664" spans="3:3">
      <c r="C664" s="5"/>
    </row>
    <row r="665" spans="3:3">
      <c r="C665" s="5"/>
    </row>
    <row r="666" spans="3:3">
      <c r="C666" s="5"/>
    </row>
    <row r="667" spans="3:3">
      <c r="C667" s="5"/>
    </row>
    <row r="668" spans="3:3">
      <c r="C668" s="5"/>
    </row>
    <row r="669" spans="3:3">
      <c r="C669" s="5"/>
    </row>
    <row r="670" spans="3:3">
      <c r="C670" s="5"/>
    </row>
    <row r="671" spans="3:3">
      <c r="C671" s="5"/>
    </row>
    <row r="672" spans="3:3">
      <c r="C672" s="5"/>
    </row>
    <row r="673" spans="3:3">
      <c r="C673" s="5"/>
    </row>
    <row r="674" spans="3:3">
      <c r="C674" s="5"/>
    </row>
    <row r="675" spans="3:3">
      <c r="C675" s="5"/>
    </row>
    <row r="676" spans="3:3">
      <c r="C676" s="5"/>
    </row>
    <row r="677" spans="3:3">
      <c r="C677" s="5"/>
    </row>
    <row r="678" spans="3:3">
      <c r="C678" s="5"/>
    </row>
    <row r="679" spans="3:3">
      <c r="C679" s="5"/>
    </row>
    <row r="680" spans="3:3">
      <c r="C680" s="5"/>
    </row>
    <row r="681" spans="3:3">
      <c r="C681" s="5"/>
    </row>
    <row r="682" spans="3:3">
      <c r="C682" s="5"/>
    </row>
    <row r="683" spans="3:3">
      <c r="C683" s="5"/>
    </row>
    <row r="684" spans="3:3">
      <c r="C684" s="5"/>
    </row>
    <row r="685" spans="3:3">
      <c r="C685" s="5"/>
    </row>
    <row r="686" spans="3:3">
      <c r="C686" s="5"/>
    </row>
    <row r="687" spans="3:3">
      <c r="C687" s="5"/>
    </row>
    <row r="688" spans="3:3">
      <c r="C688" s="5"/>
    </row>
    <row r="689" spans="3:3">
      <c r="C689" s="5"/>
    </row>
    <row r="690" spans="3:3">
      <c r="C690" s="5"/>
    </row>
    <row r="691" spans="3:3">
      <c r="C691" s="5"/>
    </row>
    <row r="692" spans="3:3">
      <c r="C692" s="5"/>
    </row>
    <row r="693" spans="3:3">
      <c r="C693" s="5"/>
    </row>
    <row r="694" spans="3:3">
      <c r="C694" s="5"/>
    </row>
    <row r="695" spans="3:3">
      <c r="C695" s="5"/>
    </row>
    <row r="696" spans="3:3">
      <c r="C696" s="5"/>
    </row>
    <row r="697" spans="3:3">
      <c r="C697" s="5"/>
    </row>
    <row r="698" spans="3:3">
      <c r="C698" s="5"/>
    </row>
    <row r="699" spans="3:3">
      <c r="C699" s="5"/>
    </row>
    <row r="700" spans="3:3">
      <c r="C700" s="5"/>
    </row>
    <row r="701" spans="3:3">
      <c r="C701" s="5"/>
    </row>
    <row r="702" spans="3:3">
      <c r="C702" s="5"/>
    </row>
    <row r="703" spans="3:3">
      <c r="C703" s="5"/>
    </row>
    <row r="704" spans="3:3">
      <c r="C704" s="5"/>
    </row>
    <row r="705" spans="3:3">
      <c r="C705" s="5"/>
    </row>
    <row r="706" spans="3:3">
      <c r="C706" s="5"/>
    </row>
    <row r="707" spans="3:3">
      <c r="C707" s="5"/>
    </row>
    <row r="708" spans="3:3">
      <c r="C708" s="5"/>
    </row>
    <row r="709" spans="3:3">
      <c r="C709" s="5"/>
    </row>
    <row r="710" spans="3:3">
      <c r="C710" s="5"/>
    </row>
    <row r="711" spans="3:3">
      <c r="C711" s="5"/>
    </row>
    <row r="712" spans="3:3">
      <c r="C712" s="5"/>
    </row>
    <row r="713" spans="3:3">
      <c r="C713" s="5"/>
    </row>
    <row r="714" spans="3:3">
      <c r="C714" s="5"/>
    </row>
    <row r="715" spans="3:3">
      <c r="C715" s="5"/>
    </row>
    <row r="716" spans="3:3">
      <c r="C716" s="5"/>
    </row>
    <row r="717" spans="3:3">
      <c r="C717" s="5"/>
    </row>
    <row r="718" spans="3:3">
      <c r="C718" s="5"/>
    </row>
    <row r="719" spans="3:3">
      <c r="C719" s="5"/>
    </row>
    <row r="720" spans="3:3">
      <c r="C720" s="5"/>
    </row>
    <row r="721" spans="3:3">
      <c r="C721" s="5"/>
    </row>
    <row r="722" spans="3:3">
      <c r="C722" s="5"/>
    </row>
    <row r="723" spans="3:3">
      <c r="C723" s="5"/>
    </row>
    <row r="724" spans="3:3">
      <c r="C724" s="5"/>
    </row>
    <row r="725" spans="3:3">
      <c r="C725" s="5"/>
    </row>
    <row r="726" spans="3:3">
      <c r="C726" s="5"/>
    </row>
    <row r="727" spans="3:3">
      <c r="C727" s="5"/>
    </row>
    <row r="728" spans="3:3">
      <c r="C728" s="5"/>
    </row>
    <row r="729" spans="3:3">
      <c r="C729" s="5"/>
    </row>
    <row r="730" spans="3:3">
      <c r="C730" s="5"/>
    </row>
    <row r="731" spans="3:3">
      <c r="C731" s="5"/>
    </row>
    <row r="732" spans="3:3">
      <c r="C732" s="5"/>
    </row>
    <row r="733" spans="3:3">
      <c r="C733" s="5"/>
    </row>
    <row r="734" spans="3:3">
      <c r="C734" s="5"/>
    </row>
    <row r="735" spans="3:3">
      <c r="C735" s="5"/>
    </row>
    <row r="736" spans="3:3">
      <c r="C736" s="5"/>
    </row>
    <row r="737" spans="3:3">
      <c r="C737" s="5"/>
    </row>
    <row r="738" spans="3:3">
      <c r="C738" s="5"/>
    </row>
    <row r="739" spans="3:3">
      <c r="C739" s="5"/>
    </row>
    <row r="740" spans="3:3">
      <c r="C740" s="5"/>
    </row>
    <row r="741" spans="3:3">
      <c r="C741" s="5"/>
    </row>
    <row r="742" spans="3:3">
      <c r="C742" s="5"/>
    </row>
    <row r="743" spans="3:3">
      <c r="C743" s="5"/>
    </row>
    <row r="744" spans="3:3">
      <c r="C744" s="5"/>
    </row>
    <row r="745" spans="3:3">
      <c r="C745" s="5"/>
    </row>
    <row r="746" spans="3:3">
      <c r="C746" s="5"/>
    </row>
    <row r="747" spans="3:3">
      <c r="C747" s="5"/>
    </row>
    <row r="748" spans="3:3">
      <c r="C748" s="5"/>
    </row>
    <row r="749" spans="3:3">
      <c r="C749" s="5"/>
    </row>
    <row r="750" spans="3:3">
      <c r="C750" s="5"/>
    </row>
    <row r="751" spans="3:3">
      <c r="C751" s="5"/>
    </row>
    <row r="752" spans="3:3">
      <c r="C752" s="5"/>
    </row>
    <row r="753" spans="3:3">
      <c r="C753" s="5"/>
    </row>
    <row r="754" spans="3:3">
      <c r="C754" s="5"/>
    </row>
    <row r="755" spans="3:3">
      <c r="C755" s="5"/>
    </row>
    <row r="756" spans="3:3">
      <c r="C756" s="5"/>
    </row>
    <row r="757" spans="3:3">
      <c r="C757" s="5"/>
    </row>
    <row r="758" spans="3:3">
      <c r="C758" s="5"/>
    </row>
    <row r="759" spans="3:3">
      <c r="C759" s="5"/>
    </row>
    <row r="760" spans="3:3">
      <c r="C760" s="5"/>
    </row>
    <row r="761" spans="3:3">
      <c r="C761" s="5"/>
    </row>
    <row r="762" spans="3:3">
      <c r="C762" s="5"/>
    </row>
    <row r="763" spans="3:3">
      <c r="C763" s="5"/>
    </row>
    <row r="764" spans="3:3">
      <c r="C764" s="5"/>
    </row>
    <row r="765" spans="3:3">
      <c r="C765" s="5"/>
    </row>
    <row r="766" spans="3:3">
      <c r="C766" s="5"/>
    </row>
    <row r="767" spans="3:3">
      <c r="C767" s="5"/>
    </row>
    <row r="768" spans="3:3">
      <c r="C768" s="5"/>
    </row>
    <row r="769" spans="3:3">
      <c r="C769" s="5"/>
    </row>
    <row r="770" spans="3:3">
      <c r="C770" s="5"/>
    </row>
    <row r="771" spans="3:3">
      <c r="C771" s="5"/>
    </row>
    <row r="772" spans="3:3">
      <c r="C772" s="5"/>
    </row>
    <row r="773" spans="3:3">
      <c r="C773" s="5"/>
    </row>
    <row r="774" spans="3:3">
      <c r="C774" s="5"/>
    </row>
    <row r="775" spans="3:3">
      <c r="C775" s="5"/>
    </row>
    <row r="776" spans="3:3">
      <c r="C776" s="5"/>
    </row>
    <row r="777" spans="3:3">
      <c r="C777" s="5"/>
    </row>
    <row r="778" spans="3:3">
      <c r="C778" s="5"/>
    </row>
    <row r="779" spans="3:3">
      <c r="C779" s="5"/>
    </row>
    <row r="780" spans="3:3">
      <c r="C780" s="5"/>
    </row>
    <row r="781" spans="3:3">
      <c r="C781" s="5"/>
    </row>
    <row r="782" spans="3:3">
      <c r="C782" s="5"/>
    </row>
    <row r="783" spans="3:3">
      <c r="C783" s="5"/>
    </row>
    <row r="784" spans="3:3">
      <c r="C784" s="5"/>
    </row>
    <row r="785" spans="3:3">
      <c r="C785" s="5"/>
    </row>
    <row r="786" spans="3:3">
      <c r="C786" s="5"/>
    </row>
    <row r="787" spans="3:3">
      <c r="C787" s="5"/>
    </row>
    <row r="788" spans="3:3">
      <c r="C788" s="5"/>
    </row>
    <row r="789" spans="3:3">
      <c r="C789" s="5"/>
    </row>
    <row r="790" spans="3:3">
      <c r="C790" s="5"/>
    </row>
    <row r="791" spans="3:3">
      <c r="C791" s="5"/>
    </row>
    <row r="792" spans="3:3">
      <c r="C792" s="5"/>
    </row>
    <row r="793" spans="3:3">
      <c r="C793" s="5"/>
    </row>
    <row r="794" spans="3:3">
      <c r="C794" s="5"/>
    </row>
    <row r="795" spans="3:3">
      <c r="C795" s="5"/>
    </row>
    <row r="796" spans="3:3">
      <c r="C796" s="5"/>
    </row>
    <row r="797" spans="3:3">
      <c r="C797" s="5"/>
    </row>
    <row r="798" spans="3:3">
      <c r="C798" s="5"/>
    </row>
    <row r="799" spans="3:3">
      <c r="C799" s="5"/>
    </row>
    <row r="800" spans="3:3">
      <c r="C800" s="5"/>
    </row>
    <row r="801" spans="3:3">
      <c r="C801" s="5"/>
    </row>
    <row r="802" spans="3:3">
      <c r="C802" s="5"/>
    </row>
    <row r="803" spans="3:3">
      <c r="C803" s="5"/>
    </row>
    <row r="804" spans="3:3">
      <c r="C804" s="5"/>
    </row>
    <row r="805" spans="3:3">
      <c r="C805" s="5"/>
    </row>
    <row r="806" spans="3:3">
      <c r="C806" s="5"/>
    </row>
    <row r="807" spans="3:3">
      <c r="C807" s="5"/>
    </row>
    <row r="808" spans="3:3">
      <c r="C808" s="5"/>
    </row>
    <row r="809" spans="3:3">
      <c r="C809" s="5"/>
    </row>
    <row r="810" spans="3:3">
      <c r="C810" s="5"/>
    </row>
    <row r="811" spans="3:3">
      <c r="C811" s="5"/>
    </row>
    <row r="812" spans="3:3">
      <c r="C812" s="5"/>
    </row>
    <row r="813" spans="3:3">
      <c r="C813" s="5"/>
    </row>
    <row r="814" spans="3:3">
      <c r="C814" s="5"/>
    </row>
    <row r="815" spans="3:3">
      <c r="C815" s="5"/>
    </row>
    <row r="816" spans="3:3">
      <c r="C816" s="5"/>
    </row>
    <row r="817" spans="3:3">
      <c r="C817" s="5"/>
    </row>
    <row r="818" spans="3:3">
      <c r="C818" s="5"/>
    </row>
    <row r="819" spans="3:3">
      <c r="C819" s="5"/>
    </row>
    <row r="820" spans="3:3">
      <c r="C820" s="5"/>
    </row>
    <row r="821" spans="3:3">
      <c r="C821" s="5"/>
    </row>
    <row r="822" spans="3:3">
      <c r="C822" s="5"/>
    </row>
    <row r="823" spans="3:3">
      <c r="C823" s="5"/>
    </row>
    <row r="824" spans="3:3">
      <c r="C824" s="5"/>
    </row>
    <row r="825" spans="3:3">
      <c r="C825" s="5"/>
    </row>
    <row r="826" spans="3:3">
      <c r="C826" s="5"/>
    </row>
    <row r="827" spans="3:3">
      <c r="C827" s="5"/>
    </row>
    <row r="828" spans="3:3">
      <c r="C828" s="5"/>
    </row>
    <row r="829" spans="3:3">
      <c r="C829" s="5"/>
    </row>
    <row r="830" spans="3:3">
      <c r="C830" s="5"/>
    </row>
    <row r="831" spans="3:3">
      <c r="C831" s="5"/>
    </row>
    <row r="832" spans="3:3">
      <c r="C832" s="5"/>
    </row>
    <row r="833" spans="3:3">
      <c r="C833" s="5"/>
    </row>
    <row r="834" spans="3:3">
      <c r="C834" s="5"/>
    </row>
    <row r="835" spans="3:3">
      <c r="C835" s="5"/>
    </row>
    <row r="836" spans="3:3">
      <c r="C836" s="5"/>
    </row>
    <row r="837" spans="3:3">
      <c r="C837" s="5"/>
    </row>
    <row r="838" spans="3:3">
      <c r="C838" s="5"/>
    </row>
    <row r="839" spans="3:3">
      <c r="C839" s="5"/>
    </row>
    <row r="840" spans="3:3">
      <c r="C840" s="5"/>
    </row>
    <row r="841" spans="3:3">
      <c r="C841" s="5"/>
    </row>
    <row r="842" spans="3:3">
      <c r="C842" s="5"/>
    </row>
    <row r="843" spans="3:3">
      <c r="C843" s="5"/>
    </row>
    <row r="844" spans="3:3">
      <c r="C844" s="5"/>
    </row>
    <row r="845" spans="3:3">
      <c r="C845" s="5"/>
    </row>
    <row r="846" spans="3:3">
      <c r="C846" s="5"/>
    </row>
    <row r="847" spans="3:3">
      <c r="C847" s="5"/>
    </row>
    <row r="848" spans="3:3">
      <c r="C848" s="5"/>
    </row>
    <row r="849" spans="3:3">
      <c r="C849" s="5"/>
    </row>
    <row r="850" spans="3:3">
      <c r="C850" s="5"/>
    </row>
    <row r="851" spans="3:3">
      <c r="C851" s="5"/>
    </row>
    <row r="852" spans="3:3">
      <c r="C852" s="5"/>
    </row>
    <row r="853" spans="3:3">
      <c r="C853" s="5"/>
    </row>
    <row r="854" spans="3:3">
      <c r="C854" s="5"/>
    </row>
    <row r="855" spans="3:3">
      <c r="C855" s="5"/>
    </row>
    <row r="856" spans="3:3">
      <c r="C856" s="5"/>
    </row>
    <row r="857" spans="3:3">
      <c r="C857" s="5"/>
    </row>
    <row r="858" spans="3:3">
      <c r="C858" s="5"/>
    </row>
    <row r="859" spans="3:3">
      <c r="C859" s="5"/>
    </row>
    <row r="860" spans="3:3">
      <c r="C860" s="5"/>
    </row>
    <row r="861" spans="3:3">
      <c r="C861" s="5"/>
    </row>
    <row r="862" spans="3:3">
      <c r="C862" s="5"/>
    </row>
    <row r="863" spans="3:3">
      <c r="C863" s="5"/>
    </row>
    <row r="864" spans="3:3">
      <c r="C864" s="5"/>
    </row>
    <row r="865" spans="3:3">
      <c r="C865" s="5"/>
    </row>
    <row r="866" spans="3:3">
      <c r="C866" s="5"/>
    </row>
    <row r="867" spans="3:3">
      <c r="C867" s="5"/>
    </row>
    <row r="868" spans="3:3">
      <c r="C868" s="5"/>
    </row>
    <row r="869" spans="3:3">
      <c r="C869" s="5"/>
    </row>
    <row r="870" spans="3:3">
      <c r="C870" s="5"/>
    </row>
    <row r="871" spans="3:3">
      <c r="C871" s="5"/>
    </row>
    <row r="872" spans="3:3">
      <c r="C872" s="5"/>
    </row>
    <row r="873" spans="3:3">
      <c r="C873" s="5"/>
    </row>
    <row r="874" spans="3:3">
      <c r="C874" s="5"/>
    </row>
    <row r="875" spans="3:3">
      <c r="C875" s="5"/>
    </row>
    <row r="876" spans="3:3">
      <c r="C876" s="5"/>
    </row>
    <row r="877" spans="3:3">
      <c r="C877" s="5"/>
    </row>
    <row r="878" spans="3:3">
      <c r="C878" s="5"/>
    </row>
    <row r="879" spans="3:3">
      <c r="C879" s="5"/>
    </row>
    <row r="880" spans="3:3">
      <c r="C880" s="5"/>
    </row>
    <row r="881" spans="3:3">
      <c r="C881" s="5"/>
    </row>
    <row r="882" spans="3:3">
      <c r="C882" s="5"/>
    </row>
    <row r="883" spans="3:3">
      <c r="C883" s="5"/>
    </row>
    <row r="884" spans="3:3">
      <c r="C884" s="5"/>
    </row>
    <row r="885" spans="3:3">
      <c r="C885" s="5"/>
    </row>
    <row r="886" spans="3:3">
      <c r="C886" s="5"/>
    </row>
    <row r="887" spans="3:3">
      <c r="C887" s="5"/>
    </row>
    <row r="888" spans="3:3">
      <c r="C888" s="5"/>
    </row>
    <row r="889" spans="3:3">
      <c r="C889" s="5"/>
    </row>
    <row r="890" spans="3:3">
      <c r="C890" s="5"/>
    </row>
    <row r="891" spans="3:3">
      <c r="C891" s="5"/>
    </row>
    <row r="892" spans="3:3">
      <c r="C892" s="5"/>
    </row>
    <row r="893" spans="3:3">
      <c r="C893" s="5"/>
    </row>
    <row r="894" spans="3:3">
      <c r="C894" s="5"/>
    </row>
    <row r="895" spans="3:3">
      <c r="C895" s="5"/>
    </row>
    <row r="896" spans="3:3">
      <c r="C896" s="5"/>
    </row>
    <row r="897" spans="3:3">
      <c r="C897" s="5"/>
    </row>
    <row r="898" spans="3:3">
      <c r="C898" s="5"/>
    </row>
    <row r="899" spans="3:3">
      <c r="C899" s="5"/>
    </row>
    <row r="900" spans="3:3">
      <c r="C900" s="5"/>
    </row>
    <row r="901" spans="3:3">
      <c r="C901" s="5"/>
    </row>
    <row r="902" spans="3:3">
      <c r="C902" s="5"/>
    </row>
    <row r="903" spans="3:3">
      <c r="C903" s="5"/>
    </row>
    <row r="904" spans="3:3">
      <c r="C904" s="5"/>
    </row>
    <row r="905" spans="3:3">
      <c r="C905" s="5"/>
    </row>
    <row r="906" spans="3:3">
      <c r="C906" s="5"/>
    </row>
    <row r="907" spans="3:3">
      <c r="C907" s="5"/>
    </row>
    <row r="908" spans="3:3">
      <c r="C908" s="5"/>
    </row>
    <row r="909" spans="3:3">
      <c r="C909" s="5"/>
    </row>
    <row r="910" spans="3:3">
      <c r="C910" s="5"/>
    </row>
    <row r="911" spans="3:3">
      <c r="C911" s="5"/>
    </row>
    <row r="912" spans="3:3">
      <c r="C912" s="5"/>
    </row>
    <row r="913" spans="3:3">
      <c r="C913" s="5"/>
    </row>
    <row r="914" spans="3:3">
      <c r="C914" s="5"/>
    </row>
    <row r="915" spans="3:3">
      <c r="C915" s="5"/>
    </row>
    <row r="916" spans="3:3">
      <c r="C916" s="5"/>
    </row>
    <row r="917" spans="3:3">
      <c r="C917" s="5"/>
    </row>
    <row r="918" spans="3:3">
      <c r="C918" s="5"/>
    </row>
    <row r="919" spans="3:3">
      <c r="C919" s="5"/>
    </row>
    <row r="920" spans="3:3">
      <c r="C920" s="5"/>
    </row>
    <row r="921" spans="3:3">
      <c r="C921" s="5"/>
    </row>
    <row r="922" spans="3:3">
      <c r="C922" s="5"/>
    </row>
    <row r="923" spans="3:3">
      <c r="C923" s="5"/>
    </row>
    <row r="924" spans="3:3">
      <c r="C924" s="5"/>
    </row>
    <row r="925" spans="3:3">
      <c r="C925" s="5"/>
    </row>
    <row r="926" spans="3:3">
      <c r="C926" s="5"/>
    </row>
    <row r="927" spans="3:3">
      <c r="C927" s="5"/>
    </row>
    <row r="928" spans="3:3">
      <c r="C928" s="5"/>
    </row>
    <row r="929" spans="3:3">
      <c r="C929" s="5"/>
    </row>
    <row r="930" spans="3:3">
      <c r="C930" s="5"/>
    </row>
    <row r="931" spans="3:3">
      <c r="C931" s="5"/>
    </row>
    <row r="932" spans="3:3">
      <c r="C932" s="5"/>
    </row>
    <row r="933" spans="3:3">
      <c r="C933" s="5"/>
    </row>
    <row r="934" spans="3:3">
      <c r="C934" s="5"/>
    </row>
    <row r="935" spans="3:3">
      <c r="C935" s="5"/>
    </row>
    <row r="936" spans="3:3">
      <c r="C936" s="5"/>
    </row>
    <row r="937" spans="3:3">
      <c r="C937" s="5"/>
    </row>
    <row r="938" spans="3:3">
      <c r="C938" s="5"/>
    </row>
    <row r="939" spans="3:3">
      <c r="C939" s="5"/>
    </row>
    <row r="940" spans="3:3">
      <c r="C940" s="5"/>
    </row>
    <row r="941" spans="3:3">
      <c r="C941" s="5"/>
    </row>
    <row r="942" spans="3:3">
      <c r="C942" s="5"/>
    </row>
    <row r="943" spans="3:3">
      <c r="C943" s="5"/>
    </row>
    <row r="944" spans="3:3">
      <c r="C944" s="5"/>
    </row>
    <row r="945" spans="3:3">
      <c r="C945" s="5"/>
    </row>
    <row r="946" spans="3:3">
      <c r="C946" s="5"/>
    </row>
    <row r="947" spans="3:3">
      <c r="C947" s="5"/>
    </row>
    <row r="948" spans="3:3">
      <c r="C948" s="5"/>
    </row>
    <row r="949" spans="3:3">
      <c r="C949" s="5"/>
    </row>
    <row r="950" spans="3:3">
      <c r="C950" s="5"/>
    </row>
    <row r="951" spans="3:3">
      <c r="C951" s="5"/>
    </row>
    <row r="952" spans="3:3">
      <c r="C952" s="5"/>
    </row>
    <row r="953" spans="3:3">
      <c r="C953" s="5"/>
    </row>
    <row r="954" spans="3:3">
      <c r="C954" s="5"/>
    </row>
    <row r="955" spans="3:3">
      <c r="C955" s="5"/>
    </row>
    <row r="956" spans="3:3">
      <c r="C956" s="5"/>
    </row>
    <row r="957" spans="3:3">
      <c r="C957" s="5"/>
    </row>
    <row r="958" spans="3:3">
      <c r="C958" s="5"/>
    </row>
    <row r="959" spans="3:3">
      <c r="C959" s="5"/>
    </row>
    <row r="960" spans="3:3">
      <c r="C960" s="5"/>
    </row>
    <row r="961" spans="3:3">
      <c r="C961" s="5"/>
    </row>
    <row r="962" spans="3:3">
      <c r="C962" s="5"/>
    </row>
    <row r="963" spans="3:3">
      <c r="C963" s="5"/>
    </row>
    <row r="964" spans="3:3">
      <c r="C964" s="5"/>
    </row>
    <row r="965" spans="3:3">
      <c r="C965" s="5"/>
    </row>
    <row r="966" spans="3:3">
      <c r="C966" s="5"/>
    </row>
    <row r="967" spans="3:3">
      <c r="C967" s="5"/>
    </row>
    <row r="968" spans="3:3">
      <c r="C968" s="5"/>
    </row>
    <row r="969" spans="3:3">
      <c r="C969" s="5"/>
    </row>
    <row r="970" spans="3:3">
      <c r="C970" s="5"/>
    </row>
    <row r="971" spans="3:3">
      <c r="C971" s="5"/>
    </row>
    <row r="972" spans="3:3">
      <c r="C972" s="5"/>
    </row>
    <row r="973" spans="3:3">
      <c r="C973" s="5"/>
    </row>
    <row r="974" spans="3:3">
      <c r="C974" s="5"/>
    </row>
    <row r="975" spans="3:3">
      <c r="C975" s="5"/>
    </row>
    <row r="976" spans="3:3">
      <c r="C976" s="5"/>
    </row>
    <row r="977" spans="3:3">
      <c r="C977" s="5"/>
    </row>
    <row r="978" spans="3:3">
      <c r="C978" s="5"/>
    </row>
    <row r="979" spans="3:3">
      <c r="C979" s="5"/>
    </row>
    <row r="980" spans="3:3">
      <c r="C980" s="5"/>
    </row>
    <row r="981" spans="3:3">
      <c r="C981" s="5"/>
    </row>
    <row r="982" spans="3:3">
      <c r="C982" s="5"/>
    </row>
    <row r="983" spans="3:3">
      <c r="C983" s="5"/>
    </row>
    <row r="984" spans="3:3">
      <c r="C984" s="5"/>
    </row>
    <row r="985" spans="3:3">
      <c r="C985" s="5"/>
    </row>
    <row r="986" spans="3:3">
      <c r="C986" s="5"/>
    </row>
    <row r="987" spans="3:3">
      <c r="C987" s="5"/>
    </row>
    <row r="988" spans="3:3">
      <c r="C988" s="5"/>
    </row>
    <row r="989" spans="3:3">
      <c r="C989" s="5"/>
    </row>
    <row r="990" spans="3:3">
      <c r="C990" s="5"/>
    </row>
    <row r="991" spans="3:3">
      <c r="C991" s="5"/>
    </row>
    <row r="992" spans="3:3">
      <c r="C992" s="5"/>
    </row>
    <row r="993" spans="3:3">
      <c r="C993" s="5"/>
    </row>
    <row r="994" spans="3:3">
      <c r="C994" s="5"/>
    </row>
    <row r="995" spans="3:3">
      <c r="C995" s="5"/>
    </row>
    <row r="996" spans="3:3">
      <c r="C996" s="5"/>
    </row>
    <row r="997" spans="3:3">
      <c r="C997" s="5"/>
    </row>
    <row r="998" spans="3:3">
      <c r="C998" s="5"/>
    </row>
    <row r="999" spans="3:3">
      <c r="C999" s="5"/>
    </row>
    <row r="1000" spans="3:3">
      <c r="C1000" s="5"/>
    </row>
    <row r="1001" spans="3:3">
      <c r="C1001" s="5"/>
    </row>
    <row r="1002" spans="3:3">
      <c r="C1002" s="5"/>
    </row>
    <row r="1003" spans="3:3">
      <c r="C1003" s="5"/>
    </row>
    <row r="1004" spans="3:3">
      <c r="C1004" s="5"/>
    </row>
    <row r="1005" spans="3:3">
      <c r="C1005" s="5"/>
    </row>
    <row r="1006" spans="3:3">
      <c r="C1006" s="5"/>
    </row>
    <row r="1007" spans="3:3">
      <c r="C1007" s="5"/>
    </row>
    <row r="1008" spans="3:3">
      <c r="C1008" s="5"/>
    </row>
    <row r="1009" spans="3:3">
      <c r="C1009" s="5"/>
    </row>
    <row r="1010" spans="3:3">
      <c r="C1010" s="5"/>
    </row>
    <row r="1011" spans="3:3">
      <c r="C1011" s="5"/>
    </row>
    <row r="1012" spans="3:3">
      <c r="C1012" s="5"/>
    </row>
    <row r="1013" spans="3:3">
      <c r="C1013" s="5"/>
    </row>
    <row r="1014" spans="3:3">
      <c r="C1014" s="5"/>
    </row>
    <row r="1015" spans="3:3">
      <c r="C1015" s="5"/>
    </row>
    <row r="1016" spans="3:3">
      <c r="C1016" s="5"/>
    </row>
    <row r="1017" spans="3:3">
      <c r="C1017" s="5"/>
    </row>
    <row r="1018" spans="3:3">
      <c r="C1018" s="5"/>
    </row>
    <row r="1019" spans="3:3">
      <c r="C1019" s="5"/>
    </row>
    <row r="1020" spans="3:3">
      <c r="C1020" s="5"/>
    </row>
    <row r="1021" spans="3:3">
      <c r="C1021" s="5"/>
    </row>
    <row r="1022" spans="3:3">
      <c r="C1022" s="5"/>
    </row>
    <row r="1023" spans="3:3">
      <c r="C1023" s="5"/>
    </row>
    <row r="1024" spans="3:3">
      <c r="C1024" s="5"/>
    </row>
    <row r="1025" spans="3:3">
      <c r="C1025" s="5"/>
    </row>
    <row r="1026" spans="3:3">
      <c r="C1026" s="5"/>
    </row>
    <row r="1027" spans="3:3">
      <c r="C1027" s="5"/>
    </row>
    <row r="1028" spans="3:3">
      <c r="C1028" s="5"/>
    </row>
    <row r="1029" spans="3:3">
      <c r="C1029" s="5"/>
    </row>
    <row r="1030" spans="3:3">
      <c r="C1030" s="5"/>
    </row>
    <row r="1031" spans="3:3">
      <c r="C1031" s="5"/>
    </row>
    <row r="1032" spans="3:3">
      <c r="C1032" s="5"/>
    </row>
    <row r="1033" spans="3:3">
      <c r="C1033" s="5"/>
    </row>
    <row r="1034" spans="3:3">
      <c r="C1034" s="5"/>
    </row>
    <row r="1035" spans="3:3">
      <c r="C1035" s="5"/>
    </row>
    <row r="1036" spans="3:3">
      <c r="C1036" s="5"/>
    </row>
    <row r="1037" spans="3:3">
      <c r="C1037" s="5"/>
    </row>
    <row r="1038" spans="3:3">
      <c r="C1038" s="5"/>
    </row>
    <row r="1039" spans="3:3">
      <c r="C1039" s="5"/>
    </row>
    <row r="1040" spans="3:3">
      <c r="C1040" s="5"/>
    </row>
    <row r="1041" spans="3:3">
      <c r="C1041" s="5"/>
    </row>
    <row r="1042" spans="3:3">
      <c r="C1042" s="5"/>
    </row>
    <row r="1043" spans="3:3">
      <c r="C1043" s="5"/>
    </row>
    <row r="1044" spans="3:3">
      <c r="C1044" s="5"/>
    </row>
    <row r="1045" spans="3:3">
      <c r="C1045" s="5"/>
    </row>
    <row r="1046" spans="3:3">
      <c r="C1046" s="5"/>
    </row>
    <row r="1047" spans="3:3">
      <c r="C1047" s="5"/>
    </row>
    <row r="1048" spans="3:3">
      <c r="C1048" s="5"/>
    </row>
    <row r="1049" spans="3:3">
      <c r="C1049" s="5"/>
    </row>
    <row r="1050" spans="3:3">
      <c r="C1050" s="5"/>
    </row>
    <row r="1051" spans="3:3">
      <c r="C1051" s="5"/>
    </row>
    <row r="1052" spans="3:3">
      <c r="C1052" s="5"/>
    </row>
    <row r="1053" spans="3:3">
      <c r="C1053" s="5"/>
    </row>
    <row r="1054" spans="3:3">
      <c r="C1054" s="5"/>
    </row>
    <row r="1055" spans="3:3">
      <c r="C1055" s="5"/>
    </row>
    <row r="1056" spans="3:3">
      <c r="C1056" s="5"/>
    </row>
    <row r="1057" spans="3:3">
      <c r="C1057" s="5"/>
    </row>
    <row r="1058" spans="3:3">
      <c r="C1058" s="5"/>
    </row>
    <row r="1059" spans="3:3">
      <c r="C1059" s="5"/>
    </row>
    <row r="1060" spans="3:3">
      <c r="C1060" s="5"/>
    </row>
    <row r="1061" spans="3:3">
      <c r="C1061" s="5"/>
    </row>
    <row r="1062" spans="3:3">
      <c r="C1062" s="5"/>
    </row>
    <row r="1063" spans="3:3">
      <c r="C1063" s="5"/>
    </row>
    <row r="1064" spans="3:3">
      <c r="C1064" s="5"/>
    </row>
    <row r="1065" spans="3:3">
      <c r="C1065" s="5"/>
    </row>
    <row r="1066" spans="3:3">
      <c r="C1066" s="5"/>
    </row>
    <row r="1067" spans="3:3">
      <c r="C1067" s="5"/>
    </row>
    <row r="1068" spans="3:3">
      <c r="C1068" s="5"/>
    </row>
    <row r="1069" spans="3:3">
      <c r="C1069" s="5"/>
    </row>
    <row r="1070" spans="3:3">
      <c r="C1070" s="5"/>
    </row>
    <row r="1071" spans="3:3">
      <c r="C1071" s="5"/>
    </row>
    <row r="1072" spans="3:3">
      <c r="C1072" s="5"/>
    </row>
    <row r="1073" spans="3:3">
      <c r="C1073" s="5"/>
    </row>
    <row r="1074" spans="3:3">
      <c r="C1074" s="5"/>
    </row>
    <row r="1075" spans="3:3">
      <c r="C1075" s="5"/>
    </row>
    <row r="1076" spans="3:3">
      <c r="C1076" s="5"/>
    </row>
    <row r="1077" spans="3:3">
      <c r="C1077" s="5"/>
    </row>
    <row r="1078" spans="3:3">
      <c r="C1078" s="5"/>
    </row>
    <row r="1079" spans="3:3">
      <c r="C1079" s="5"/>
    </row>
    <row r="1080" spans="3:3">
      <c r="C1080" s="5"/>
    </row>
    <row r="1081" spans="3:3">
      <c r="C1081" s="5"/>
    </row>
    <row r="1082" spans="3:3">
      <c r="C1082" s="5"/>
    </row>
    <row r="1083" spans="3:3">
      <c r="C1083" s="5"/>
    </row>
    <row r="1084" spans="3:3">
      <c r="C1084" s="5"/>
    </row>
    <row r="1085" spans="3:3">
      <c r="C1085" s="5"/>
    </row>
    <row r="1086" spans="3:3">
      <c r="C1086" s="5"/>
    </row>
    <row r="1087" spans="3:3">
      <c r="C1087" s="5"/>
    </row>
    <row r="1088" spans="3:3">
      <c r="C1088" s="5"/>
    </row>
    <row r="1089" spans="3:3">
      <c r="C1089" s="5"/>
    </row>
    <row r="1090" spans="3:3">
      <c r="C1090" s="5"/>
    </row>
    <row r="1091" spans="3:3">
      <c r="C1091" s="5"/>
    </row>
    <row r="1092" spans="3:3">
      <c r="C1092" s="5"/>
    </row>
    <row r="1093" spans="3:3">
      <c r="C1093" s="5"/>
    </row>
    <row r="1094" spans="3:3">
      <c r="C1094" s="5"/>
    </row>
    <row r="1095" spans="3:3">
      <c r="C1095" s="5"/>
    </row>
    <row r="1096" spans="3:3">
      <c r="C1096" s="5"/>
    </row>
    <row r="1097" spans="3:3">
      <c r="C1097" s="5"/>
    </row>
    <row r="1098" spans="3:3">
      <c r="C1098" s="5"/>
    </row>
    <row r="1099" spans="3:3">
      <c r="C1099" s="5"/>
    </row>
    <row r="1100" spans="3:3">
      <c r="C1100" s="5"/>
    </row>
    <row r="1101" spans="3:3">
      <c r="C1101" s="5"/>
    </row>
    <row r="1102" spans="3:3">
      <c r="C1102" s="5"/>
    </row>
    <row r="1103" spans="3:3">
      <c r="C1103" s="5"/>
    </row>
    <row r="1104" spans="3:3">
      <c r="C1104" s="5"/>
    </row>
    <row r="1105" spans="3:3">
      <c r="C1105" s="5"/>
    </row>
    <row r="1106" spans="3:3">
      <c r="C1106" s="5"/>
    </row>
    <row r="1107" spans="3:3">
      <c r="C1107" s="5"/>
    </row>
    <row r="1108" spans="3:3">
      <c r="C1108" s="5"/>
    </row>
    <row r="1109" spans="3:3">
      <c r="C1109" s="5"/>
    </row>
    <row r="1110" spans="3:3">
      <c r="C1110" s="5"/>
    </row>
    <row r="1111" spans="3:3">
      <c r="C1111" s="5"/>
    </row>
    <row r="1112" spans="3:3">
      <c r="C1112" s="5"/>
    </row>
    <row r="1113" spans="3:3">
      <c r="C1113" s="5"/>
    </row>
    <row r="1114" spans="3:3">
      <c r="C1114" s="5"/>
    </row>
    <row r="1115" spans="3:3">
      <c r="C1115" s="5"/>
    </row>
    <row r="1116" spans="3:3">
      <c r="C1116" s="5"/>
    </row>
    <row r="1117" spans="3:3">
      <c r="C1117" s="5"/>
    </row>
    <row r="1118" spans="3:3">
      <c r="C1118" s="5"/>
    </row>
    <row r="1119" spans="3:3">
      <c r="C1119" s="5"/>
    </row>
    <row r="1120" spans="3:3">
      <c r="C1120" s="5"/>
    </row>
    <row r="1121" spans="3:3">
      <c r="C1121" s="5"/>
    </row>
    <row r="1122" spans="3:3">
      <c r="C1122" s="5"/>
    </row>
    <row r="1123" spans="3:3">
      <c r="C1123" s="5"/>
    </row>
    <row r="1124" spans="3:3">
      <c r="C1124" s="5"/>
    </row>
    <row r="1125" spans="3:3">
      <c r="C1125" s="5"/>
    </row>
    <row r="1126" spans="3:3">
      <c r="C1126" s="5"/>
    </row>
    <row r="1127" spans="3:3">
      <c r="C1127" s="5"/>
    </row>
    <row r="1128" spans="3:3">
      <c r="C1128" s="5"/>
    </row>
    <row r="1129" spans="3:3">
      <c r="C1129" s="5"/>
    </row>
    <row r="1130" spans="3:3">
      <c r="C1130" s="5"/>
    </row>
    <row r="1131" spans="3:3">
      <c r="C1131" s="5"/>
    </row>
    <row r="1132" spans="3:3">
      <c r="C1132" s="5"/>
    </row>
    <row r="1133" spans="3:3">
      <c r="C1133" s="5"/>
    </row>
    <row r="1134" spans="3:3">
      <c r="C1134" s="5"/>
    </row>
    <row r="1135" spans="3:3">
      <c r="C1135" s="5"/>
    </row>
    <row r="1136" spans="3:3">
      <c r="C1136" s="5"/>
    </row>
    <row r="1137" spans="3:3">
      <c r="C1137" s="5"/>
    </row>
    <row r="1138" spans="3:3">
      <c r="C1138" s="5"/>
    </row>
    <row r="1139" spans="3:3">
      <c r="C1139" s="5"/>
    </row>
    <row r="1140" spans="3:3">
      <c r="C1140" s="5"/>
    </row>
    <row r="1141" spans="3:3">
      <c r="C1141" s="5"/>
    </row>
    <row r="1142" spans="3:3">
      <c r="C1142" s="5"/>
    </row>
    <row r="1143" spans="3:3">
      <c r="C1143" s="5"/>
    </row>
    <row r="1144" spans="3:3">
      <c r="C1144" s="5"/>
    </row>
    <row r="1145" spans="3:3">
      <c r="C1145" s="5"/>
    </row>
    <row r="1146" spans="3:3">
      <c r="C1146" s="5"/>
    </row>
    <row r="1147" spans="3:3">
      <c r="C1147" s="5"/>
    </row>
    <row r="1148" spans="3:3">
      <c r="C1148" s="5"/>
    </row>
    <row r="1149" spans="3:3">
      <c r="C1149" s="5"/>
    </row>
    <row r="1150" spans="3:3">
      <c r="C1150" s="5"/>
    </row>
    <row r="1151" spans="3:3">
      <c r="C1151" s="5"/>
    </row>
    <row r="1152" spans="3:3">
      <c r="C1152" s="5"/>
    </row>
    <row r="1153" spans="3:3">
      <c r="C1153" s="5"/>
    </row>
    <row r="1154" spans="3:3">
      <c r="C1154" s="5"/>
    </row>
    <row r="1155" spans="3:3">
      <c r="C1155" s="5"/>
    </row>
    <row r="1156" spans="3:3">
      <c r="C1156" s="5"/>
    </row>
    <row r="1157" spans="3:3">
      <c r="C1157" s="5"/>
    </row>
    <row r="1158" spans="3:3">
      <c r="C1158" s="5"/>
    </row>
    <row r="1159" spans="3:3">
      <c r="C1159" s="5"/>
    </row>
    <row r="1160" spans="3:3">
      <c r="C1160" s="5"/>
    </row>
    <row r="1161" spans="3:3">
      <c r="C1161" s="5"/>
    </row>
    <row r="1162" spans="3:3">
      <c r="C1162" s="5"/>
    </row>
    <row r="1163" spans="3:3">
      <c r="C1163" s="5"/>
    </row>
    <row r="1164" spans="3:3">
      <c r="C1164" s="5"/>
    </row>
    <row r="1165" spans="3:3">
      <c r="C1165" s="5"/>
    </row>
    <row r="1166" spans="3:3">
      <c r="C1166" s="5"/>
    </row>
    <row r="1167" spans="3:3">
      <c r="C1167" s="5"/>
    </row>
    <row r="1168" spans="3:3">
      <c r="C1168" s="5"/>
    </row>
    <row r="1169" spans="3:3">
      <c r="C1169" s="5"/>
    </row>
    <row r="1170" spans="3:3">
      <c r="C1170" s="5"/>
    </row>
    <row r="1171" spans="3:3">
      <c r="C1171" s="5"/>
    </row>
    <row r="1172" spans="3:3">
      <c r="C1172" s="5"/>
    </row>
    <row r="1173" spans="3:3">
      <c r="C1173" s="5"/>
    </row>
    <row r="1174" spans="3:3">
      <c r="C1174" s="5"/>
    </row>
    <row r="1175" spans="3:3">
      <c r="C1175" s="5"/>
    </row>
    <row r="1176" spans="3:3">
      <c r="C1176" s="5"/>
    </row>
    <row r="1177" spans="3:3">
      <c r="C1177" s="5"/>
    </row>
    <row r="1178" spans="3:3">
      <c r="C1178" s="5"/>
    </row>
    <row r="1179" spans="3:3">
      <c r="C1179" s="5"/>
    </row>
    <row r="1180" spans="3:3">
      <c r="C1180" s="5"/>
    </row>
    <row r="1181" spans="3:3">
      <c r="C1181" s="5"/>
    </row>
    <row r="1182" spans="3:3">
      <c r="C1182" s="5"/>
    </row>
    <row r="1183" spans="3:3">
      <c r="C1183" s="5"/>
    </row>
    <row r="1184" spans="3:3">
      <c r="C1184" s="5"/>
    </row>
    <row r="1185" spans="3:3">
      <c r="C1185" s="5"/>
    </row>
    <row r="1186" spans="3:3">
      <c r="C1186" s="5"/>
    </row>
    <row r="1187" spans="3:3">
      <c r="C1187" s="5"/>
    </row>
    <row r="1188" spans="3:3">
      <c r="C1188" s="5"/>
    </row>
    <row r="1189" spans="3:3">
      <c r="C1189" s="5"/>
    </row>
    <row r="1190" spans="3:3">
      <c r="C1190" s="5"/>
    </row>
    <row r="1191" spans="3:3">
      <c r="C1191" s="5"/>
    </row>
    <row r="1192" spans="3:3">
      <c r="C1192" s="5"/>
    </row>
    <row r="1193" spans="3:3">
      <c r="C1193" s="5"/>
    </row>
    <row r="1194" spans="3:3">
      <c r="C1194" s="5"/>
    </row>
    <row r="1195" spans="3:3">
      <c r="C1195" s="5"/>
    </row>
    <row r="1196" spans="3:3">
      <c r="C1196" s="5"/>
    </row>
    <row r="1197" spans="3:3">
      <c r="C1197" s="5"/>
    </row>
    <row r="1198" spans="3:3">
      <c r="C1198" s="5"/>
    </row>
    <row r="1199" spans="3:3">
      <c r="C1199" s="5"/>
    </row>
    <row r="1200" spans="3:3">
      <c r="C1200" s="5"/>
    </row>
    <row r="1201" spans="3:3">
      <c r="C1201" s="5"/>
    </row>
    <row r="1202" spans="3:3">
      <c r="C1202" s="5"/>
    </row>
    <row r="1203" spans="3:3">
      <c r="C1203" s="5"/>
    </row>
    <row r="1204" spans="3:3">
      <c r="C1204" s="5"/>
    </row>
    <row r="1205" spans="3:3">
      <c r="C1205" s="5"/>
    </row>
    <row r="1206" spans="3:3">
      <c r="C1206" s="5"/>
    </row>
    <row r="1207" spans="3:3">
      <c r="C1207" s="5"/>
    </row>
    <row r="1208" spans="3:3">
      <c r="C1208" s="5"/>
    </row>
    <row r="1209" spans="3:3">
      <c r="C1209" s="5"/>
    </row>
    <row r="1210" spans="3:3">
      <c r="C1210" s="5"/>
    </row>
    <row r="1211" spans="3:3">
      <c r="C1211" s="5"/>
    </row>
    <row r="1212" spans="3:3">
      <c r="C1212" s="5"/>
    </row>
    <row r="1213" spans="3:3">
      <c r="C1213" s="5"/>
    </row>
    <row r="1214" spans="3:3">
      <c r="C1214" s="5"/>
    </row>
    <row r="1215" spans="3:3">
      <c r="C1215" s="5"/>
    </row>
    <row r="1216" spans="3:3">
      <c r="C1216" s="5"/>
    </row>
    <row r="1217" spans="3:3">
      <c r="C1217" s="5"/>
    </row>
    <row r="1218" spans="3:3">
      <c r="C1218" s="5"/>
    </row>
    <row r="1219" spans="3:3">
      <c r="C1219" s="5"/>
    </row>
    <row r="1220" spans="3:3">
      <c r="C1220" s="5"/>
    </row>
    <row r="1221" spans="3:3">
      <c r="C1221" s="5"/>
    </row>
    <row r="1222" spans="3:3">
      <c r="C1222" s="5"/>
    </row>
    <row r="1223" spans="3:3">
      <c r="C1223" s="5"/>
    </row>
    <row r="1224" spans="3:3">
      <c r="C1224" s="5"/>
    </row>
    <row r="1225" spans="3:3">
      <c r="C1225" s="5"/>
    </row>
    <row r="1226" spans="3:3">
      <c r="C1226" s="5"/>
    </row>
    <row r="1227" spans="3:3">
      <c r="C1227" s="5"/>
    </row>
    <row r="1228" spans="3:3">
      <c r="C1228" s="5"/>
    </row>
    <row r="1229" spans="3:3">
      <c r="C1229" s="5"/>
    </row>
    <row r="1230" spans="3:3">
      <c r="C1230" s="5"/>
    </row>
    <row r="1231" spans="3:3">
      <c r="C1231" s="5"/>
    </row>
    <row r="1232" spans="3:3">
      <c r="C1232" s="5"/>
    </row>
    <row r="1233" spans="3:3">
      <c r="C1233" s="5"/>
    </row>
    <row r="1234" spans="3:3">
      <c r="C1234" s="5"/>
    </row>
    <row r="1235" spans="3:3">
      <c r="C1235" s="5"/>
    </row>
    <row r="1236" spans="3:3">
      <c r="C1236" s="5"/>
    </row>
    <row r="1237" spans="3:3">
      <c r="C1237" s="5"/>
    </row>
    <row r="1238" spans="3:3">
      <c r="C1238" s="5"/>
    </row>
    <row r="1239" spans="3:3">
      <c r="C1239" s="5"/>
    </row>
    <row r="1240" spans="3:3">
      <c r="C1240" s="5"/>
    </row>
    <row r="1241" spans="3:3">
      <c r="C1241" s="5"/>
    </row>
    <row r="1242" spans="3:3">
      <c r="C1242" s="5"/>
    </row>
    <row r="1243" spans="3:3">
      <c r="C1243" s="5"/>
    </row>
    <row r="1244" spans="3:3">
      <c r="C1244" s="5"/>
    </row>
    <row r="1245" spans="3:3">
      <c r="C1245" s="5"/>
    </row>
    <row r="1246" spans="3:3">
      <c r="C1246" s="5"/>
    </row>
    <row r="1247" spans="3:3">
      <c r="C1247" s="5"/>
    </row>
    <row r="1248" spans="3:3">
      <c r="C1248" s="5"/>
    </row>
    <row r="1249" spans="3:3">
      <c r="C1249" s="5"/>
    </row>
    <row r="1250" spans="3:3">
      <c r="C1250" s="5"/>
    </row>
    <row r="1251" spans="3:3">
      <c r="C1251" s="5"/>
    </row>
    <row r="1252" spans="3:3">
      <c r="C1252" s="5"/>
    </row>
    <row r="1253" spans="3:3">
      <c r="C1253" s="5"/>
    </row>
    <row r="1254" spans="3:3">
      <c r="C1254" s="5"/>
    </row>
    <row r="1255" spans="3:3">
      <c r="C1255" s="5"/>
    </row>
    <row r="1256" spans="3:3">
      <c r="C1256" s="5"/>
    </row>
    <row r="1257" spans="3:3">
      <c r="C1257" s="5"/>
    </row>
    <row r="1258" spans="3:3">
      <c r="C1258" s="5"/>
    </row>
    <row r="1259" spans="3:3">
      <c r="C1259" s="5"/>
    </row>
    <row r="1260" spans="3:3">
      <c r="C1260" s="5"/>
    </row>
    <row r="1261" spans="3:3">
      <c r="C1261" s="5"/>
    </row>
    <row r="1262" spans="3:3">
      <c r="C1262" s="5"/>
    </row>
    <row r="1263" spans="3:3">
      <c r="C1263" s="5"/>
    </row>
    <row r="1264" spans="3:3">
      <c r="C1264" s="5"/>
    </row>
    <row r="1265" spans="3:3">
      <c r="C1265" s="5"/>
    </row>
    <row r="1266" spans="3:3">
      <c r="C1266" s="5"/>
    </row>
    <row r="1267" spans="3:3">
      <c r="C1267" s="5"/>
    </row>
    <row r="1268" spans="3:3">
      <c r="C1268" s="5"/>
    </row>
    <row r="1269" spans="3:3">
      <c r="C1269" s="5"/>
    </row>
    <row r="1270" spans="3:3">
      <c r="C1270" s="5"/>
    </row>
    <row r="1271" spans="3:3">
      <c r="C1271" s="5"/>
    </row>
    <row r="1272" spans="3:3">
      <c r="C1272" s="5"/>
    </row>
    <row r="1273" spans="3:3">
      <c r="C1273" s="5"/>
    </row>
    <row r="1274" spans="3:3">
      <c r="C1274" s="5"/>
    </row>
    <row r="1275" spans="3:3">
      <c r="C1275" s="5"/>
    </row>
    <row r="1276" spans="3:3">
      <c r="C1276" s="5"/>
    </row>
    <row r="1277" spans="3:3">
      <c r="C1277" s="5"/>
    </row>
    <row r="1278" spans="3:3">
      <c r="C1278" s="5"/>
    </row>
    <row r="1279" spans="3:3">
      <c r="C1279" s="5"/>
    </row>
    <row r="1280" spans="3:3">
      <c r="C1280" s="5"/>
    </row>
    <row r="1281" spans="3:3">
      <c r="C1281" s="5"/>
    </row>
    <row r="1282" spans="3:3">
      <c r="C1282" s="5"/>
    </row>
    <row r="1283" spans="3:3">
      <c r="C1283" s="5"/>
    </row>
    <row r="1284" spans="3:3">
      <c r="C1284" s="5"/>
    </row>
    <row r="1285" spans="3:3">
      <c r="C1285" s="5"/>
    </row>
    <row r="1286" spans="3:3">
      <c r="C1286" s="5"/>
    </row>
    <row r="1287" spans="3:3">
      <c r="C1287" s="5"/>
    </row>
    <row r="1288" spans="3:3">
      <c r="C1288" s="5"/>
    </row>
    <row r="1289" spans="3:3">
      <c r="C1289" s="5"/>
    </row>
    <row r="1290" spans="3:3">
      <c r="C1290" s="5"/>
    </row>
    <row r="1291" spans="3:3">
      <c r="C1291" s="5"/>
    </row>
    <row r="1292" spans="3:3">
      <c r="C1292" s="5"/>
    </row>
    <row r="1293" spans="3:3">
      <c r="C1293" s="5"/>
    </row>
    <row r="1294" spans="3:3">
      <c r="C1294" s="5"/>
    </row>
    <row r="1295" spans="3:3">
      <c r="C1295" s="5"/>
    </row>
    <row r="1296" spans="3:3">
      <c r="C1296" s="5"/>
    </row>
    <row r="1297" spans="3:3">
      <c r="C1297" s="5"/>
    </row>
    <row r="1298" spans="3:3">
      <c r="C1298" s="5"/>
    </row>
    <row r="1299" spans="3:3">
      <c r="C1299" s="5"/>
    </row>
    <row r="1300" spans="3:3">
      <c r="C1300" s="5"/>
    </row>
    <row r="1301" spans="3:3">
      <c r="C1301" s="5"/>
    </row>
    <row r="1302" spans="3:3">
      <c r="C1302" s="5"/>
    </row>
    <row r="1303" spans="3:3">
      <c r="C1303" s="5"/>
    </row>
    <row r="1304" spans="3:3">
      <c r="C1304" s="5"/>
    </row>
    <row r="1305" spans="3:3">
      <c r="C1305" s="5"/>
    </row>
    <row r="1306" spans="3:3">
      <c r="C1306" s="5"/>
    </row>
    <row r="1307" spans="3:3">
      <c r="C1307" s="5"/>
    </row>
    <row r="1308" spans="3:3">
      <c r="C1308" s="5"/>
    </row>
    <row r="1309" spans="3:3">
      <c r="C1309" s="5"/>
    </row>
    <row r="1310" spans="3:3">
      <c r="C1310" s="5"/>
    </row>
    <row r="1311" spans="3:3">
      <c r="C1311" s="5"/>
    </row>
    <row r="1312" spans="3:3">
      <c r="C1312" s="5"/>
    </row>
    <row r="1313" spans="3:3">
      <c r="C1313" s="5"/>
    </row>
    <row r="1314" spans="3:3">
      <c r="C1314" s="5"/>
    </row>
    <row r="1315" spans="3:3">
      <c r="C1315" s="5"/>
    </row>
    <row r="1316" spans="3:3">
      <c r="C1316" s="5"/>
    </row>
    <row r="1317" spans="3:3">
      <c r="C1317" s="5"/>
    </row>
    <row r="1318" spans="3:3">
      <c r="C1318" s="5"/>
    </row>
    <row r="1319" spans="3:3">
      <c r="C1319" s="5"/>
    </row>
    <row r="1320" spans="3:3">
      <c r="C1320" s="5"/>
    </row>
    <row r="1321" spans="3:3">
      <c r="C1321" s="5"/>
    </row>
    <row r="1322" spans="3:3">
      <c r="C1322" s="5"/>
    </row>
    <row r="1323" spans="3:3">
      <c r="C1323" s="5"/>
    </row>
    <row r="1324" spans="3:3">
      <c r="C1324" s="5"/>
    </row>
    <row r="1325" spans="3:3">
      <c r="C1325" s="5"/>
    </row>
    <row r="1326" spans="3:3">
      <c r="C1326" s="5"/>
    </row>
    <row r="1327" spans="3:3">
      <c r="C1327" s="5"/>
    </row>
    <row r="1328" spans="3:3">
      <c r="C1328" s="5"/>
    </row>
    <row r="1329" spans="3:3">
      <c r="C1329" s="5"/>
    </row>
    <row r="1330" spans="3:3">
      <c r="C1330" s="5"/>
    </row>
    <row r="1331" spans="3:3">
      <c r="C1331" s="5"/>
    </row>
    <row r="1332" spans="3:3">
      <c r="C1332" s="5"/>
    </row>
    <row r="1333" spans="3:3">
      <c r="C1333" s="5"/>
    </row>
    <row r="1334" spans="3:3">
      <c r="C1334" s="5"/>
    </row>
    <row r="1335" spans="3:3">
      <c r="C1335" s="5"/>
    </row>
    <row r="1336" spans="3:3">
      <c r="C1336" s="5"/>
    </row>
    <row r="1337" spans="3:3">
      <c r="C1337" s="5"/>
    </row>
    <row r="1338" spans="3:3">
      <c r="C1338" s="5"/>
    </row>
    <row r="1339" spans="3:3">
      <c r="C1339" s="5"/>
    </row>
    <row r="1340" spans="3:3">
      <c r="C1340" s="5"/>
    </row>
    <row r="1341" spans="3:3">
      <c r="C1341" s="5"/>
    </row>
    <row r="1342" spans="3:3">
      <c r="C1342" s="5"/>
    </row>
    <row r="1343" spans="3:3">
      <c r="C1343" s="5"/>
    </row>
    <row r="1344" spans="3:3">
      <c r="C1344" s="5"/>
    </row>
    <row r="1345" spans="3:3">
      <c r="C1345" s="5"/>
    </row>
    <row r="1346" spans="3:3">
      <c r="C1346" s="5"/>
    </row>
    <row r="1347" spans="3:3">
      <c r="C1347" s="5"/>
    </row>
    <row r="1348" spans="3:3">
      <c r="C1348" s="5"/>
    </row>
    <row r="1349" spans="3:3">
      <c r="C1349" s="5"/>
    </row>
    <row r="1350" spans="3:3">
      <c r="C1350" s="5"/>
    </row>
    <row r="1351" spans="3:3">
      <c r="C1351" s="5"/>
    </row>
    <row r="1352" spans="3:3">
      <c r="C1352" s="5"/>
    </row>
    <row r="1353" spans="3:3">
      <c r="C1353" s="5"/>
    </row>
    <row r="1354" spans="3:3">
      <c r="C1354" s="5"/>
    </row>
    <row r="1355" spans="3:3">
      <c r="C1355" s="5"/>
    </row>
    <row r="1356" spans="3:3">
      <c r="C1356" s="5"/>
    </row>
    <row r="1357" spans="3:3">
      <c r="C1357" s="5"/>
    </row>
    <row r="1358" spans="3:3">
      <c r="C1358" s="5"/>
    </row>
    <row r="1359" spans="3:3">
      <c r="C1359" s="5"/>
    </row>
    <row r="1360" spans="3:3">
      <c r="C1360" s="5"/>
    </row>
    <row r="1361" spans="3:3">
      <c r="C1361" s="5"/>
    </row>
    <row r="1362" spans="3:3">
      <c r="C1362" s="5"/>
    </row>
    <row r="1363" spans="3:3">
      <c r="C1363" s="5"/>
    </row>
    <row r="1364" spans="3:3">
      <c r="C1364" s="5"/>
    </row>
    <row r="1365" spans="3:3">
      <c r="C1365" s="5"/>
    </row>
    <row r="1366" spans="3:3">
      <c r="C1366" s="5"/>
    </row>
    <row r="1367" spans="3:3">
      <c r="C1367" s="5"/>
    </row>
    <row r="1368" spans="3:3">
      <c r="C1368" s="5"/>
    </row>
    <row r="1369" spans="3:3">
      <c r="C1369" s="5"/>
    </row>
    <row r="1370" spans="3:3">
      <c r="C1370" s="5"/>
    </row>
    <row r="1371" spans="3:3">
      <c r="C1371" s="5"/>
    </row>
    <row r="1372" spans="3:3">
      <c r="C1372" s="5"/>
    </row>
    <row r="1373" spans="3:3">
      <c r="C1373" s="5"/>
    </row>
    <row r="1374" spans="3:3">
      <c r="C1374" s="5"/>
    </row>
    <row r="1375" spans="3:3">
      <c r="C1375" s="5"/>
    </row>
    <row r="1376" spans="3:3">
      <c r="C1376" s="5"/>
    </row>
    <row r="1377" spans="3:3">
      <c r="C1377" s="5"/>
    </row>
    <row r="1378" spans="3:3">
      <c r="C1378" s="5"/>
    </row>
    <row r="1379" spans="3:3">
      <c r="C1379" s="5"/>
    </row>
    <row r="1380" spans="3:3">
      <c r="C1380" s="5"/>
    </row>
    <row r="1381" spans="3:3">
      <c r="C1381" s="5"/>
    </row>
    <row r="1382" spans="3:3">
      <c r="C1382" s="5"/>
    </row>
    <row r="1383" spans="3:3">
      <c r="C1383" s="5"/>
    </row>
    <row r="1384" spans="3:3">
      <c r="C1384" s="5"/>
    </row>
    <row r="1385" spans="3:3">
      <c r="C1385" s="5"/>
    </row>
    <row r="1386" spans="3:3">
      <c r="C1386" s="5"/>
    </row>
    <row r="1387" spans="3:3">
      <c r="C1387" s="5"/>
    </row>
    <row r="1388" spans="3:3">
      <c r="C1388" s="5"/>
    </row>
    <row r="1389" spans="3:3">
      <c r="C1389" s="5"/>
    </row>
    <row r="1390" spans="3:3">
      <c r="C1390" s="5"/>
    </row>
    <row r="1391" spans="3:3">
      <c r="C1391" s="5"/>
    </row>
    <row r="1392" spans="3:3">
      <c r="C1392" s="5"/>
    </row>
    <row r="1393" spans="3:3">
      <c r="C1393" s="5"/>
    </row>
    <row r="1394" spans="3:3">
      <c r="C1394" s="5"/>
    </row>
    <row r="1395" spans="3:3">
      <c r="C1395" s="5"/>
    </row>
    <row r="1396" spans="3:3">
      <c r="C1396" s="5"/>
    </row>
    <row r="1397" spans="3:3">
      <c r="C1397" s="5"/>
    </row>
    <row r="1398" spans="3:3">
      <c r="C1398" s="5"/>
    </row>
    <row r="1399" spans="3:3">
      <c r="C1399" s="5"/>
    </row>
    <row r="1400" spans="3:3">
      <c r="C1400" s="5"/>
    </row>
    <row r="1401" spans="3:3">
      <c r="C1401" s="5"/>
    </row>
    <row r="1402" spans="3:3">
      <c r="C1402" s="5"/>
    </row>
    <row r="1403" spans="3:3">
      <c r="C1403" s="5"/>
    </row>
    <row r="1404" spans="3:3">
      <c r="C1404" s="5"/>
    </row>
    <row r="1405" spans="3:3">
      <c r="C1405" s="5"/>
    </row>
    <row r="1406" spans="3:3">
      <c r="C1406" s="5"/>
    </row>
    <row r="1407" spans="3:3">
      <c r="C1407" s="5"/>
    </row>
    <row r="1408" spans="3:3">
      <c r="C1408" s="5"/>
    </row>
    <row r="1409" spans="3:3">
      <c r="C1409" s="5"/>
    </row>
    <row r="1410" spans="3:3">
      <c r="C1410" s="5"/>
    </row>
    <row r="1411" spans="3:3">
      <c r="C1411" s="5"/>
    </row>
    <row r="1412" spans="3:3">
      <c r="C1412" s="5"/>
    </row>
    <row r="1413" spans="3:3">
      <c r="C1413" s="5"/>
    </row>
    <row r="1414" spans="3:3">
      <c r="C1414" s="5"/>
    </row>
    <row r="1415" spans="3:3">
      <c r="C1415" s="5"/>
    </row>
    <row r="1416" spans="3:3">
      <c r="C1416" s="5"/>
    </row>
    <row r="1417" spans="3:3">
      <c r="C1417" s="5"/>
    </row>
    <row r="1418" spans="3:3">
      <c r="C1418" s="5"/>
    </row>
    <row r="1419" spans="3:3">
      <c r="C1419" s="5"/>
    </row>
    <row r="1420" spans="3:3">
      <c r="C1420" s="5"/>
    </row>
    <row r="1421" spans="3:3">
      <c r="C1421" s="5"/>
    </row>
    <row r="1422" spans="3:3">
      <c r="C1422" s="5"/>
    </row>
    <row r="1423" spans="3:3">
      <c r="C1423" s="5"/>
    </row>
    <row r="1424" spans="3:3">
      <c r="C1424" s="5"/>
    </row>
    <row r="1425" spans="3:3">
      <c r="C1425" s="5"/>
    </row>
    <row r="1426" spans="3:3">
      <c r="C1426" s="5"/>
    </row>
    <row r="1427" spans="3:3">
      <c r="C1427" s="5"/>
    </row>
    <row r="1428" spans="3:3">
      <c r="C1428" s="5"/>
    </row>
    <row r="1429" spans="3:3">
      <c r="C1429" s="5"/>
    </row>
    <row r="1430" spans="3:3">
      <c r="C1430" s="5"/>
    </row>
    <row r="1431" spans="3:3">
      <c r="C1431" s="5"/>
    </row>
    <row r="1432" spans="3:3">
      <c r="C1432" s="5"/>
    </row>
    <row r="1433" spans="3:3">
      <c r="C1433" s="5"/>
    </row>
    <row r="1434" spans="3:3">
      <c r="C1434" s="5"/>
    </row>
    <row r="1435" spans="3:3">
      <c r="C1435" s="5"/>
    </row>
    <row r="1436" spans="3:3">
      <c r="C1436" s="5"/>
    </row>
    <row r="1437" spans="3:3">
      <c r="C1437" s="5"/>
    </row>
    <row r="1438" spans="3:3">
      <c r="C1438" s="5"/>
    </row>
    <row r="1439" spans="3:3">
      <c r="C1439" s="5"/>
    </row>
    <row r="1440" spans="3:3">
      <c r="C1440" s="5"/>
    </row>
    <row r="1441" spans="3:3">
      <c r="C1441" s="5"/>
    </row>
    <row r="1442" spans="3:3">
      <c r="C1442" s="5"/>
    </row>
    <row r="1443" spans="3:3">
      <c r="C1443" s="5"/>
    </row>
    <row r="1444" spans="3:3">
      <c r="C1444" s="5"/>
    </row>
    <row r="1445" spans="3:3">
      <c r="C1445" s="5"/>
    </row>
    <row r="1446" spans="3:3">
      <c r="C1446" s="5"/>
    </row>
    <row r="1447" spans="3:3">
      <c r="C1447" s="5"/>
    </row>
    <row r="1448" spans="3:3">
      <c r="C1448" s="5"/>
    </row>
    <row r="1449" spans="3:3">
      <c r="C1449" s="5"/>
    </row>
    <row r="1450" spans="3:3">
      <c r="C1450" s="5"/>
    </row>
    <row r="1451" spans="3:3">
      <c r="C1451" s="5"/>
    </row>
    <row r="1452" spans="3:3">
      <c r="C1452" s="5"/>
    </row>
    <row r="1453" spans="3:3">
      <c r="C1453" s="5"/>
    </row>
    <row r="1454" spans="3:3">
      <c r="C1454" s="5"/>
    </row>
    <row r="1455" spans="3:3">
      <c r="C1455" s="5"/>
    </row>
    <row r="1456" spans="3:3">
      <c r="C1456" s="5"/>
    </row>
    <row r="1457" spans="3:3">
      <c r="C1457" s="5"/>
    </row>
    <row r="1458" spans="3:3">
      <c r="C1458" s="5"/>
    </row>
    <row r="1459" spans="3:3">
      <c r="C1459" s="5"/>
    </row>
    <row r="1460" spans="3:3">
      <c r="C1460" s="5"/>
    </row>
    <row r="1461" spans="3:3">
      <c r="C1461" s="5"/>
    </row>
    <row r="1462" spans="3:3">
      <c r="C1462" s="5"/>
    </row>
    <row r="1463" spans="3:3">
      <c r="C1463" s="5"/>
    </row>
    <row r="1464" spans="3:3">
      <c r="C1464" s="5"/>
    </row>
    <row r="1465" spans="3:3">
      <c r="C1465" s="5"/>
    </row>
    <row r="1466" spans="3:3">
      <c r="C1466" s="5"/>
    </row>
    <row r="1467" spans="3:3">
      <c r="C1467" s="5"/>
    </row>
    <row r="1468" spans="3:3">
      <c r="C1468" s="5"/>
    </row>
    <row r="1469" spans="3:3">
      <c r="C1469" s="5"/>
    </row>
    <row r="1470" spans="3:3">
      <c r="C1470" s="5"/>
    </row>
    <row r="1471" spans="3:3">
      <c r="C1471" s="5"/>
    </row>
    <row r="1472" spans="3:3">
      <c r="C1472" s="5"/>
    </row>
    <row r="1473" spans="3:3">
      <c r="C1473" s="5"/>
    </row>
    <row r="1474" spans="3:3">
      <c r="C1474" s="5"/>
    </row>
    <row r="1475" spans="3:3">
      <c r="C1475" s="5"/>
    </row>
    <row r="1476" spans="3:3">
      <c r="C1476" s="5"/>
    </row>
    <row r="1477" spans="3:3">
      <c r="C1477" s="5"/>
    </row>
    <row r="1478" spans="3:3">
      <c r="C1478" s="5"/>
    </row>
    <row r="1479" spans="3:3">
      <c r="C1479" s="5"/>
    </row>
    <row r="1480" spans="3:3">
      <c r="C1480" s="5"/>
    </row>
    <row r="1481" spans="3:3">
      <c r="C1481" s="5"/>
    </row>
    <row r="1482" spans="3:3">
      <c r="C1482" s="5"/>
    </row>
    <row r="1483" spans="3:3">
      <c r="C1483" s="5"/>
    </row>
    <row r="1484" spans="3:3">
      <c r="C1484" s="5"/>
    </row>
    <row r="1485" spans="3:3">
      <c r="C1485" s="5"/>
    </row>
    <row r="1486" spans="3:3">
      <c r="C1486" s="5"/>
    </row>
    <row r="1487" spans="3:3">
      <c r="C1487" s="5"/>
    </row>
    <row r="1488" spans="3:3">
      <c r="C1488" s="5"/>
    </row>
    <row r="1489" spans="3:3">
      <c r="C1489" s="5"/>
    </row>
    <row r="1490" spans="3:3">
      <c r="C1490" s="5"/>
    </row>
    <row r="1491" spans="3:3">
      <c r="C1491" s="5"/>
    </row>
    <row r="1492" spans="3:3">
      <c r="C1492" s="5"/>
    </row>
    <row r="1493" spans="3:3">
      <c r="C1493" s="5"/>
    </row>
    <row r="1494" spans="3:3">
      <c r="C1494" s="5"/>
    </row>
    <row r="1495" spans="3:3">
      <c r="C1495" s="5"/>
    </row>
    <row r="1496" spans="3:3">
      <c r="C1496" s="5"/>
    </row>
    <row r="1497" spans="3:3">
      <c r="C1497" s="5"/>
    </row>
    <row r="1498" spans="3:3">
      <c r="C1498" s="5"/>
    </row>
    <row r="1499" spans="3:3">
      <c r="C1499" s="5"/>
    </row>
    <row r="1500" spans="3:3">
      <c r="C1500" s="5"/>
    </row>
    <row r="1501" spans="3:3">
      <c r="C1501" s="5"/>
    </row>
    <row r="1502" spans="3:3">
      <c r="C1502" s="5"/>
    </row>
    <row r="1503" spans="3:3">
      <c r="C1503" s="5"/>
    </row>
    <row r="1504" spans="3:3">
      <c r="C1504" s="5"/>
    </row>
    <row r="1505" spans="3:3">
      <c r="C1505" s="5"/>
    </row>
    <row r="1506" spans="3:3">
      <c r="C1506" s="5"/>
    </row>
    <row r="1507" spans="3:3">
      <c r="C1507" s="5"/>
    </row>
    <row r="1508" spans="3:3">
      <c r="C1508" s="5"/>
    </row>
    <row r="1509" spans="3:3">
      <c r="C1509" s="5"/>
    </row>
    <row r="1510" spans="3:3">
      <c r="C1510" s="5"/>
    </row>
    <row r="1511" spans="3:3">
      <c r="C1511" s="5"/>
    </row>
    <row r="1512" spans="3:3">
      <c r="C1512" s="5"/>
    </row>
    <row r="1513" spans="3:3">
      <c r="C1513" s="5"/>
    </row>
    <row r="1514" spans="3:3">
      <c r="C1514" s="5"/>
    </row>
    <row r="1515" spans="3:3">
      <c r="C1515" s="5"/>
    </row>
    <row r="1516" spans="3:3">
      <c r="C1516" s="5"/>
    </row>
    <row r="1517" spans="3:3">
      <c r="C1517" s="5"/>
    </row>
    <row r="1518" spans="3:3">
      <c r="C1518" s="5"/>
    </row>
    <row r="1519" spans="3:3">
      <c r="C1519" s="5"/>
    </row>
    <row r="1520" spans="3:3">
      <c r="C1520" s="5"/>
    </row>
    <row r="1521" spans="3:3">
      <c r="C1521" s="5"/>
    </row>
    <row r="1522" spans="3:3">
      <c r="C1522" s="5"/>
    </row>
    <row r="1523" spans="3:3">
      <c r="C1523" s="5"/>
    </row>
    <row r="1524" spans="3:3">
      <c r="C1524" s="5"/>
    </row>
    <row r="1525" spans="3:3">
      <c r="C1525" s="5"/>
    </row>
    <row r="1526" spans="3:3">
      <c r="C1526" s="5"/>
    </row>
    <row r="1527" spans="3:3">
      <c r="C1527" s="5"/>
    </row>
    <row r="1528" spans="3:3">
      <c r="C1528" s="5"/>
    </row>
    <row r="1529" spans="3:3">
      <c r="C1529" s="5"/>
    </row>
    <row r="1530" spans="3:3">
      <c r="C1530" s="5"/>
    </row>
    <row r="1531" spans="3:3">
      <c r="C1531" s="5"/>
    </row>
    <row r="1532" spans="3:3">
      <c r="C1532" s="5"/>
    </row>
    <row r="1533" spans="3:3">
      <c r="C1533" s="5"/>
    </row>
    <row r="1534" spans="3:3">
      <c r="C1534" s="5"/>
    </row>
    <row r="1535" spans="3:3">
      <c r="C1535" s="5"/>
    </row>
    <row r="1536" spans="3:3">
      <c r="C1536" s="5"/>
    </row>
    <row r="1537" spans="3:3">
      <c r="C1537" s="5"/>
    </row>
    <row r="1538" spans="3:3">
      <c r="C1538" s="5"/>
    </row>
    <row r="1539" spans="3:3">
      <c r="C1539" s="5"/>
    </row>
    <row r="1540" spans="3:3">
      <c r="C1540" s="5"/>
    </row>
    <row r="1541" spans="3:3">
      <c r="C1541" s="5"/>
    </row>
    <row r="1542" spans="3:3">
      <c r="C1542" s="5"/>
    </row>
    <row r="1543" spans="3:3">
      <c r="C1543" s="5"/>
    </row>
    <row r="1544" spans="3:3">
      <c r="C1544" s="5"/>
    </row>
    <row r="1545" spans="3:3">
      <c r="C1545" s="5"/>
    </row>
    <row r="1546" spans="3:3">
      <c r="C1546" s="5"/>
    </row>
    <row r="1547" spans="3:3">
      <c r="C1547" s="5"/>
    </row>
    <row r="1548" spans="3:3">
      <c r="C1548" s="5"/>
    </row>
    <row r="1549" spans="3:3">
      <c r="C1549" s="5"/>
    </row>
    <row r="1550" spans="3:3">
      <c r="C1550" s="5"/>
    </row>
    <row r="1551" spans="3:3">
      <c r="C1551" s="5"/>
    </row>
    <row r="1552" spans="3:3">
      <c r="C1552" s="5"/>
    </row>
    <row r="1553" spans="3:3">
      <c r="C1553" s="5"/>
    </row>
    <row r="1554" spans="3:3">
      <c r="C1554" s="5"/>
    </row>
    <row r="1555" spans="3:3">
      <c r="C1555" s="5"/>
    </row>
    <row r="1556" spans="3:3">
      <c r="C1556" s="5"/>
    </row>
    <row r="1557" spans="3:3">
      <c r="C1557" s="5"/>
    </row>
    <row r="1558" spans="3:3">
      <c r="C1558" s="5"/>
    </row>
    <row r="1559" spans="3:3">
      <c r="C1559" s="5"/>
    </row>
    <row r="1560" spans="3:3">
      <c r="C1560" s="5"/>
    </row>
    <row r="1561" spans="3:3">
      <c r="C1561" s="5"/>
    </row>
    <row r="1562" spans="3:3">
      <c r="C1562" s="5"/>
    </row>
    <row r="1563" spans="3:3">
      <c r="C1563" s="5"/>
    </row>
    <row r="1564" spans="3:3">
      <c r="C1564" s="5"/>
    </row>
    <row r="1565" spans="3:3">
      <c r="C1565" s="5"/>
    </row>
    <row r="1566" spans="3:3">
      <c r="C1566" s="5"/>
    </row>
    <row r="1567" spans="3:3">
      <c r="C1567" s="5"/>
    </row>
    <row r="1568" spans="3:3">
      <c r="C1568" s="5"/>
    </row>
    <row r="1569" spans="3:3">
      <c r="C1569" s="5"/>
    </row>
    <row r="1570" spans="3:3">
      <c r="C1570" s="5"/>
    </row>
    <row r="1571" spans="3:3">
      <c r="C1571" s="5"/>
    </row>
    <row r="1572" spans="3:3">
      <c r="C1572" s="5"/>
    </row>
    <row r="1573" spans="3:3">
      <c r="C1573" s="5"/>
    </row>
    <row r="1574" spans="3:3">
      <c r="C1574" s="5"/>
    </row>
    <row r="1575" spans="3:3">
      <c r="C1575" s="5"/>
    </row>
    <row r="1576" spans="3:3">
      <c r="C1576" s="5"/>
    </row>
    <row r="1577" spans="3:3">
      <c r="C1577" s="5"/>
    </row>
    <row r="1578" spans="3:3">
      <c r="C1578" s="5"/>
    </row>
    <row r="1579" spans="3:3">
      <c r="C1579" s="5"/>
    </row>
    <row r="1580" spans="3:3">
      <c r="C1580" s="5"/>
    </row>
    <row r="1581" spans="3:3">
      <c r="C1581" s="5"/>
    </row>
    <row r="1582" spans="3:3">
      <c r="C1582" s="5"/>
    </row>
    <row r="1583" spans="3:3">
      <c r="C1583" s="5"/>
    </row>
    <row r="1584" spans="3:3">
      <c r="C1584" s="5"/>
    </row>
    <row r="1585" spans="3:3">
      <c r="C1585" s="5"/>
    </row>
    <row r="1586" spans="3:3">
      <c r="C1586" s="5"/>
    </row>
    <row r="1587" spans="3:3">
      <c r="C1587" s="5"/>
    </row>
    <row r="1588" spans="3:3">
      <c r="C1588" s="5"/>
    </row>
    <row r="1589" spans="3:3">
      <c r="C1589" s="5"/>
    </row>
    <row r="1590" spans="3:3">
      <c r="C1590" s="5"/>
    </row>
    <row r="1591" spans="3:3">
      <c r="C1591" s="5"/>
    </row>
    <row r="1592" spans="3:3">
      <c r="C1592" s="5"/>
    </row>
    <row r="1593" spans="3:3">
      <c r="C1593" s="5"/>
    </row>
    <row r="1594" spans="3:3">
      <c r="C1594" s="5"/>
    </row>
    <row r="1595" spans="3:3">
      <c r="C1595" s="5"/>
    </row>
    <row r="1596" spans="3:3">
      <c r="C1596" s="5"/>
    </row>
    <row r="1597" spans="3:3">
      <c r="C1597" s="5"/>
    </row>
    <row r="1598" spans="3:3">
      <c r="C1598" s="5"/>
    </row>
    <row r="1599" spans="3:3">
      <c r="C1599" s="5"/>
    </row>
    <row r="1600" spans="3:3">
      <c r="C1600" s="5"/>
    </row>
    <row r="1601" spans="3:3">
      <c r="C1601" s="5"/>
    </row>
    <row r="1602" spans="3:3">
      <c r="C1602" s="5"/>
    </row>
    <row r="1603" spans="3:3">
      <c r="C1603" s="5"/>
    </row>
    <row r="1604" spans="3:3">
      <c r="C1604" s="5"/>
    </row>
    <row r="1605" spans="3:3">
      <c r="C1605" s="5"/>
    </row>
    <row r="1606" spans="3:3">
      <c r="C1606" s="5"/>
    </row>
    <row r="1607" spans="3:3">
      <c r="C1607" s="5"/>
    </row>
    <row r="1608" spans="3:3">
      <c r="C1608" s="5"/>
    </row>
    <row r="1609" spans="3:3">
      <c r="C1609" s="5"/>
    </row>
    <row r="1610" spans="3:3">
      <c r="C1610" s="5"/>
    </row>
    <row r="1611" spans="3:3">
      <c r="C1611" s="5"/>
    </row>
    <row r="1612" spans="3:3">
      <c r="C1612" s="5"/>
    </row>
    <row r="1613" spans="3:3">
      <c r="C1613" s="5"/>
    </row>
    <row r="1614" spans="3:3">
      <c r="C1614" s="5"/>
    </row>
    <row r="1615" spans="3:3">
      <c r="C1615" s="5"/>
    </row>
    <row r="1616" spans="3:3">
      <c r="C1616" s="5"/>
    </row>
    <row r="1617" spans="3:3">
      <c r="C1617" s="5"/>
    </row>
    <row r="1618" spans="3:3">
      <c r="C1618" s="5"/>
    </row>
    <row r="1619" spans="3:3">
      <c r="C1619" s="5"/>
    </row>
    <row r="1620" spans="3:3">
      <c r="C1620" s="5"/>
    </row>
    <row r="1621" spans="3:3">
      <c r="C1621" s="5"/>
    </row>
    <row r="1622" spans="3:3">
      <c r="C1622" s="5"/>
    </row>
    <row r="1623" spans="3:3">
      <c r="C1623" s="5"/>
    </row>
    <row r="1624" spans="3:3">
      <c r="C1624" s="5"/>
    </row>
    <row r="1625" spans="3:3">
      <c r="C1625" s="5"/>
    </row>
    <row r="1626" spans="3:3">
      <c r="C1626" s="5"/>
    </row>
    <row r="1627" spans="3:3">
      <c r="C1627" s="5"/>
    </row>
    <row r="1628" spans="3:3">
      <c r="C1628" s="5"/>
    </row>
    <row r="1629" spans="3:3">
      <c r="C1629" s="5"/>
    </row>
    <row r="1630" spans="3:3">
      <c r="C1630" s="5"/>
    </row>
    <row r="1631" spans="3:3">
      <c r="C1631" s="5"/>
    </row>
    <row r="1632" spans="3:3">
      <c r="C1632" s="5"/>
    </row>
    <row r="1633" spans="3:3">
      <c r="C1633" s="5"/>
    </row>
    <row r="1634" spans="3:3">
      <c r="C1634" s="5"/>
    </row>
    <row r="1635" spans="3:3">
      <c r="C1635" s="5"/>
    </row>
    <row r="1636" spans="3:3">
      <c r="C1636" s="5"/>
    </row>
    <row r="1637" spans="3:3">
      <c r="C1637" s="5"/>
    </row>
    <row r="1638" spans="3:3">
      <c r="C1638" s="5"/>
    </row>
    <row r="1639" spans="3:3">
      <c r="C1639" s="5"/>
    </row>
    <row r="1640" spans="3:3">
      <c r="C1640" s="5"/>
    </row>
    <row r="1641" spans="3:3">
      <c r="C1641" s="5"/>
    </row>
    <row r="1642" spans="3:3">
      <c r="C1642" s="5"/>
    </row>
    <row r="1643" spans="3:3">
      <c r="C1643" s="5"/>
    </row>
    <row r="1644" spans="3:3">
      <c r="C1644" s="5"/>
    </row>
    <row r="1645" spans="3:3">
      <c r="C1645" s="5"/>
    </row>
    <row r="1646" spans="3:3">
      <c r="C1646" s="5"/>
    </row>
    <row r="1647" spans="3:3">
      <c r="C1647" s="5"/>
    </row>
    <row r="1648" spans="3:3">
      <c r="C1648" s="5"/>
    </row>
    <row r="1649" spans="3:3">
      <c r="C1649" s="5"/>
    </row>
    <row r="1650" spans="3:3">
      <c r="C1650" s="5"/>
    </row>
    <row r="1651" spans="3:3">
      <c r="C1651" s="5"/>
    </row>
    <row r="1652" spans="3:3">
      <c r="C1652" s="5"/>
    </row>
    <row r="1653" spans="3:3">
      <c r="C1653" s="5"/>
    </row>
    <row r="1654" spans="3:3">
      <c r="C1654" s="5"/>
    </row>
    <row r="1655" spans="3:3">
      <c r="C1655" s="5"/>
    </row>
    <row r="1656" spans="3:3">
      <c r="C1656" s="5"/>
    </row>
    <row r="1657" spans="3:3">
      <c r="C1657" s="5"/>
    </row>
    <row r="1658" spans="3:3">
      <c r="C1658" s="5"/>
    </row>
    <row r="1659" spans="3:3">
      <c r="C1659" s="5"/>
    </row>
    <row r="1660" spans="3:3">
      <c r="C1660" s="5"/>
    </row>
    <row r="1661" spans="3:3">
      <c r="C1661" s="5"/>
    </row>
    <row r="1662" spans="3:3">
      <c r="C1662" s="5"/>
    </row>
    <row r="1663" spans="3:3">
      <c r="C1663" s="5"/>
    </row>
    <row r="1664" spans="3:3">
      <c r="C1664" s="5"/>
    </row>
    <row r="1665" spans="3:3">
      <c r="C1665" s="5"/>
    </row>
    <row r="1666" spans="3:3">
      <c r="C1666" s="5"/>
    </row>
    <row r="1667" spans="3:3">
      <c r="C1667" s="5"/>
    </row>
    <row r="1668" spans="3:3">
      <c r="C1668" s="5"/>
    </row>
    <row r="1669" spans="3:3">
      <c r="C1669" s="5"/>
    </row>
  </sheetData>
  <phoneticPr fontId="0" type="noConversion"/>
  <pageMargins left="0.25" right="0.25" top="1" bottom="0.75" header="0.5" footer="0.5"/>
  <pageSetup scale="73" fitToHeight="2" orientation="landscape" r:id="rId1"/>
  <headerFooter alignWithMargins="0">
    <oddHeader>&amp;C&amp;"Arial,Bold"&amp;22Occupancy Tax Receipts
Fiscal Year 2003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Q1672"/>
  <sheetViews>
    <sheetView workbookViewId="0">
      <selection activeCell="E12" sqref="E12"/>
    </sheetView>
  </sheetViews>
  <sheetFormatPr defaultColWidth="9.08984375" defaultRowHeight="10"/>
  <cols>
    <col min="1" max="1" width="7.54296875" style="1" bestFit="1" customWidth="1"/>
    <col min="2" max="2" width="27.08984375" style="1" bestFit="1" customWidth="1"/>
    <col min="3" max="3" width="12" style="1" bestFit="1" customWidth="1"/>
    <col min="4" max="14" width="10.6328125" style="1" bestFit="1" customWidth="1"/>
    <col min="15" max="15" width="12" style="1" bestFit="1" customWidth="1"/>
    <col min="16" max="16" width="9.08984375" style="1" hidden="1" customWidth="1"/>
    <col min="17" max="17" width="10.6328125" style="1" bestFit="1" customWidth="1"/>
    <col min="18" max="16384" width="9.08984375" style="1"/>
  </cols>
  <sheetData>
    <row r="1" spans="1:17" s="17" customFormat="1" ht="21">
      <c r="A1" s="14" t="s">
        <v>82</v>
      </c>
      <c r="B1" s="15" t="s">
        <v>0</v>
      </c>
      <c r="C1" s="16" t="s">
        <v>173</v>
      </c>
      <c r="D1" s="16" t="s">
        <v>168</v>
      </c>
      <c r="E1" s="16" t="s">
        <v>169</v>
      </c>
      <c r="F1" s="16" t="s">
        <v>170</v>
      </c>
      <c r="G1" s="16" t="s">
        <v>171</v>
      </c>
      <c r="H1" s="16" t="s">
        <v>172</v>
      </c>
      <c r="I1" s="18" t="s">
        <v>174</v>
      </c>
      <c r="J1" s="18" t="s">
        <v>175</v>
      </c>
      <c r="K1" s="19" t="s">
        <v>176</v>
      </c>
      <c r="L1" s="18" t="s">
        <v>177</v>
      </c>
      <c r="M1" s="18" t="s">
        <v>178</v>
      </c>
      <c r="N1" s="18" t="s">
        <v>179</v>
      </c>
      <c r="O1" s="26" t="s">
        <v>143</v>
      </c>
      <c r="P1" s="26"/>
      <c r="Q1" s="26" t="s">
        <v>142</v>
      </c>
    </row>
    <row r="2" spans="1:17">
      <c r="A2" s="4">
        <v>70000</v>
      </c>
      <c r="B2" s="1" t="s">
        <v>4</v>
      </c>
      <c r="C2" s="5">
        <v>1057.05</v>
      </c>
      <c r="D2" s="5">
        <v>1159.8900000000001</v>
      </c>
      <c r="E2" s="5">
        <v>995.8</v>
      </c>
      <c r="F2" s="5">
        <v>1035.3699999999999</v>
      </c>
      <c r="G2" s="5">
        <v>982.29</v>
      </c>
      <c r="H2" s="5">
        <v>648.33000000000004</v>
      </c>
      <c r="I2" s="5">
        <v>610.95000000000005</v>
      </c>
      <c r="J2" s="5">
        <v>770.56</v>
      </c>
      <c r="K2" s="5">
        <v>837.23</v>
      </c>
      <c r="L2" s="5">
        <v>934.6</v>
      </c>
      <c r="M2" s="5">
        <v>891.14</v>
      </c>
      <c r="N2" s="5">
        <v>932.15</v>
      </c>
      <c r="O2" s="8">
        <f>+SUM(C2:N2)</f>
        <v>10855.359999999999</v>
      </c>
      <c r="P2" s="1">
        <f>+COUNT(C2:N2)</f>
        <v>12</v>
      </c>
      <c r="Q2" s="5">
        <f>+O2/P2</f>
        <v>904.61333333333323</v>
      </c>
    </row>
    <row r="3" spans="1:17">
      <c r="A3" s="4">
        <v>70001</v>
      </c>
      <c r="B3" s="1" t="s">
        <v>92</v>
      </c>
      <c r="C3" s="5">
        <v>16338.58</v>
      </c>
      <c r="D3" s="5">
        <v>12284.56</v>
      </c>
      <c r="E3" s="5">
        <v>17632.38</v>
      </c>
      <c r="F3" s="5">
        <v>18222.3</v>
      </c>
      <c r="G3" s="5">
        <v>11760.75</v>
      </c>
      <c r="H3" s="5">
        <v>6680.68</v>
      </c>
      <c r="I3" s="30">
        <v>7976.36</v>
      </c>
      <c r="J3" s="5">
        <v>11166.44</v>
      </c>
      <c r="K3" s="31">
        <v>14281.7</v>
      </c>
      <c r="L3" s="31">
        <v>21815.87</v>
      </c>
      <c r="M3" s="31">
        <v>17634.599999999999</v>
      </c>
      <c r="N3" s="31">
        <v>12850.48</v>
      </c>
      <c r="O3" s="8">
        <f t="shared" ref="O3:O66" si="0">+SUM(C3:N3)</f>
        <v>168644.7</v>
      </c>
      <c r="P3" s="1">
        <f t="shared" ref="P3:P66" si="1">+COUNT(C3:N3)</f>
        <v>12</v>
      </c>
      <c r="Q3" s="5">
        <f t="shared" ref="Q3:Q65" si="2">+O3/P3</f>
        <v>14053.725</v>
      </c>
    </row>
    <row r="4" spans="1:17">
      <c r="A4" s="4">
        <v>70002</v>
      </c>
      <c r="B4" s="1" t="s">
        <v>6</v>
      </c>
      <c r="C4" s="5">
        <v>2662.63</v>
      </c>
      <c r="D4" s="5">
        <v>2776.55</v>
      </c>
      <c r="E4" s="5">
        <v>2268.8200000000002</v>
      </c>
      <c r="F4" s="5">
        <v>2457.71</v>
      </c>
      <c r="G4" s="5">
        <v>1957.81</v>
      </c>
      <c r="H4" s="5">
        <v>1457.99</v>
      </c>
      <c r="I4" s="5">
        <v>1547.02</v>
      </c>
      <c r="J4" s="5">
        <v>1624.4</v>
      </c>
      <c r="K4" s="5">
        <v>2114.3200000000002</v>
      </c>
      <c r="L4" s="5">
        <v>2390.29</v>
      </c>
      <c r="M4" s="5">
        <v>2508.44</v>
      </c>
      <c r="N4" s="5">
        <v>2438.48</v>
      </c>
      <c r="O4" s="8">
        <f t="shared" si="0"/>
        <v>26204.46</v>
      </c>
      <c r="P4" s="1">
        <f t="shared" si="1"/>
        <v>12</v>
      </c>
      <c r="Q4" s="5">
        <f t="shared" si="2"/>
        <v>2183.7049999999999</v>
      </c>
    </row>
    <row r="5" spans="1:17">
      <c r="A5" s="4">
        <v>70003</v>
      </c>
      <c r="B5" s="1" t="s">
        <v>7</v>
      </c>
      <c r="C5" s="5">
        <v>1572.88</v>
      </c>
      <c r="D5" s="5">
        <v>1666.69</v>
      </c>
      <c r="E5" s="5">
        <v>1080.8599999999999</v>
      </c>
      <c r="F5" s="5">
        <v>1596.72</v>
      </c>
      <c r="G5" s="5">
        <v>1447.03</v>
      </c>
      <c r="H5" s="5">
        <v>1227.92</v>
      </c>
      <c r="I5" s="5">
        <v>1389.42</v>
      </c>
      <c r="J5" s="5">
        <v>1235.58</v>
      </c>
      <c r="K5" s="5">
        <v>1178.9100000000001</v>
      </c>
      <c r="L5" s="5">
        <v>1243.0999999999999</v>
      </c>
      <c r="M5" s="5">
        <v>1389.42</v>
      </c>
      <c r="N5" s="5">
        <v>1299.72</v>
      </c>
      <c r="O5" s="8">
        <f t="shared" si="0"/>
        <v>16328.25</v>
      </c>
      <c r="P5" s="1">
        <f t="shared" si="1"/>
        <v>12</v>
      </c>
      <c r="Q5" s="5">
        <f t="shared" si="2"/>
        <v>1360.6875</v>
      </c>
    </row>
    <row r="6" spans="1:17">
      <c r="A6" s="4">
        <v>70004</v>
      </c>
      <c r="B6" s="1" t="s">
        <v>8</v>
      </c>
      <c r="C6" s="31"/>
      <c r="D6" s="31"/>
      <c r="E6" s="31"/>
      <c r="F6" s="31"/>
      <c r="G6" s="31"/>
      <c r="H6" s="31"/>
      <c r="I6" s="31"/>
      <c r="J6" s="31"/>
      <c r="O6" s="8">
        <f t="shared" si="0"/>
        <v>0</v>
      </c>
      <c r="P6" s="1">
        <f t="shared" si="1"/>
        <v>0</v>
      </c>
      <c r="Q6" s="5"/>
    </row>
    <row r="7" spans="1:17">
      <c r="A7" s="4">
        <v>70006</v>
      </c>
      <c r="B7" s="1" t="s">
        <v>9</v>
      </c>
      <c r="C7" s="5">
        <v>2877.2</v>
      </c>
      <c r="D7" s="5">
        <v>2601.38</v>
      </c>
      <c r="E7" s="5">
        <v>2197.73</v>
      </c>
      <c r="F7" s="5">
        <v>2803.33</v>
      </c>
      <c r="G7" s="5">
        <v>1992.71</v>
      </c>
      <c r="H7" s="5">
        <v>1564.96</v>
      </c>
      <c r="I7" s="5">
        <v>1471.68</v>
      </c>
      <c r="J7" s="5">
        <v>1553.77</v>
      </c>
      <c r="K7" s="5">
        <v>2383.75</v>
      </c>
      <c r="L7" s="5">
        <v>3303.03</v>
      </c>
      <c r="M7" s="5">
        <v>2592.62</v>
      </c>
      <c r="N7" s="5">
        <v>2311.0300000000002</v>
      </c>
      <c r="O7" s="8">
        <f t="shared" si="0"/>
        <v>27653.189999999995</v>
      </c>
      <c r="P7" s="1">
        <f t="shared" si="1"/>
        <v>12</v>
      </c>
      <c r="Q7" s="5">
        <f t="shared" si="2"/>
        <v>2304.4324999999994</v>
      </c>
    </row>
    <row r="8" spans="1:17">
      <c r="A8" s="4">
        <v>70007</v>
      </c>
      <c r="B8" s="1" t="s">
        <v>10</v>
      </c>
      <c r="C8" s="5">
        <v>297</v>
      </c>
      <c r="D8" s="5">
        <v>315</v>
      </c>
      <c r="E8" s="5">
        <v>325.5</v>
      </c>
      <c r="F8" s="5">
        <v>309</v>
      </c>
      <c r="G8" s="5">
        <v>266.7</v>
      </c>
      <c r="H8" s="5">
        <v>243</v>
      </c>
      <c r="I8" s="5">
        <v>222.6</v>
      </c>
      <c r="J8" s="5">
        <v>212.4</v>
      </c>
      <c r="K8" s="5">
        <v>228.6</v>
      </c>
      <c r="L8" s="5">
        <v>237</v>
      </c>
      <c r="M8" s="5">
        <v>243</v>
      </c>
      <c r="N8" s="5">
        <v>255</v>
      </c>
      <c r="O8" s="8">
        <f t="shared" si="0"/>
        <v>3154.7999999999997</v>
      </c>
      <c r="P8" s="1">
        <f t="shared" si="1"/>
        <v>12</v>
      </c>
      <c r="Q8" s="5">
        <f t="shared" si="2"/>
        <v>262.89999999999998</v>
      </c>
    </row>
    <row r="9" spans="1:17">
      <c r="A9" s="4">
        <v>70008</v>
      </c>
      <c r="B9" s="1" t="s">
        <v>11</v>
      </c>
      <c r="C9" s="5">
        <v>2477.52</v>
      </c>
      <c r="D9" s="5">
        <v>2000.9</v>
      </c>
      <c r="E9" s="5">
        <v>1963.14</v>
      </c>
      <c r="F9" s="5">
        <v>2243.3000000000002</v>
      </c>
      <c r="G9" s="5">
        <v>1289.0999999999999</v>
      </c>
      <c r="H9" s="5">
        <v>1285.92</v>
      </c>
      <c r="I9" s="5">
        <v>1179.06</v>
      </c>
      <c r="J9" s="5">
        <v>1126.48</v>
      </c>
      <c r="K9" s="5">
        <v>1429.5</v>
      </c>
      <c r="L9" s="5">
        <v>1992.6</v>
      </c>
      <c r="M9" s="5">
        <v>1410.9</v>
      </c>
      <c r="N9" s="5">
        <v>1711.92</v>
      </c>
      <c r="O9" s="8">
        <f t="shared" si="0"/>
        <v>20110.340000000004</v>
      </c>
      <c r="P9" s="1">
        <f t="shared" si="1"/>
        <v>12</v>
      </c>
      <c r="Q9" s="5">
        <f t="shared" si="2"/>
        <v>1675.8616666666669</v>
      </c>
    </row>
    <row r="10" spans="1:17">
      <c r="A10" s="4" t="s">
        <v>12</v>
      </c>
      <c r="B10" s="1" t="s">
        <v>13</v>
      </c>
      <c r="C10" s="5">
        <v>3158.76</v>
      </c>
      <c r="D10" s="5">
        <v>3088.77</v>
      </c>
      <c r="E10" s="5">
        <v>4847.67</v>
      </c>
      <c r="F10" s="5">
        <v>6632.25</v>
      </c>
      <c r="G10" s="5">
        <v>4436.01</v>
      </c>
      <c r="H10" s="5">
        <v>2717.94</v>
      </c>
      <c r="I10" s="5">
        <v>2402.25</v>
      </c>
      <c r="J10" s="5">
        <v>2250.15</v>
      </c>
      <c r="K10" s="5">
        <v>3266.34</v>
      </c>
      <c r="L10" s="5">
        <v>5701.35</v>
      </c>
      <c r="M10" s="5">
        <v>5312.04</v>
      </c>
      <c r="N10" s="5">
        <v>2604.27</v>
      </c>
      <c r="O10" s="8">
        <f t="shared" si="0"/>
        <v>46417.799999999996</v>
      </c>
      <c r="P10" s="1">
        <f t="shared" si="1"/>
        <v>12</v>
      </c>
      <c r="Q10" s="5">
        <f t="shared" si="2"/>
        <v>3868.1499999999996</v>
      </c>
    </row>
    <row r="11" spans="1:17">
      <c r="A11" s="4">
        <v>70014</v>
      </c>
      <c r="B11" s="1" t="s">
        <v>14</v>
      </c>
      <c r="C11" s="5">
        <v>14624.02</v>
      </c>
      <c r="D11" s="5">
        <v>13895.19</v>
      </c>
      <c r="E11" s="5">
        <v>12592.12</v>
      </c>
      <c r="F11" s="5">
        <v>15324.99</v>
      </c>
      <c r="G11" s="5">
        <v>10413.879999999999</v>
      </c>
      <c r="H11" s="31">
        <v>11086.25</v>
      </c>
      <c r="I11" s="5">
        <v>9244.99</v>
      </c>
      <c r="J11" s="5">
        <v>9700.9599999999991</v>
      </c>
      <c r="K11" s="5">
        <v>12822.1</v>
      </c>
      <c r="L11" s="5">
        <v>19034.53</v>
      </c>
      <c r="M11" s="31">
        <v>16271.19</v>
      </c>
      <c r="N11" s="32">
        <v>14097.08</v>
      </c>
      <c r="O11" s="8">
        <f t="shared" si="0"/>
        <v>159107.29999999999</v>
      </c>
      <c r="P11" s="1">
        <f t="shared" si="1"/>
        <v>12</v>
      </c>
      <c r="Q11" s="5">
        <f t="shared" si="2"/>
        <v>13258.941666666666</v>
      </c>
    </row>
    <row r="12" spans="1:17">
      <c r="A12" s="4" t="s">
        <v>73</v>
      </c>
      <c r="B12" s="1" t="s">
        <v>63</v>
      </c>
      <c r="C12" s="5">
        <v>8340.5400000000009</v>
      </c>
      <c r="D12" s="5">
        <v>8533.9599999999991</v>
      </c>
      <c r="E12" s="5">
        <v>6748.81</v>
      </c>
      <c r="F12" s="5">
        <v>9913.36</v>
      </c>
      <c r="G12" s="5">
        <v>5808.84</v>
      </c>
      <c r="H12" s="5">
        <v>4935.3</v>
      </c>
      <c r="I12" s="5">
        <v>3799.1</v>
      </c>
      <c r="J12" s="5">
        <v>5054.9399999999996</v>
      </c>
      <c r="K12" s="5">
        <v>6706.66</v>
      </c>
      <c r="L12" s="5">
        <v>9355.9500000000007</v>
      </c>
      <c r="M12" s="5">
        <v>8734.32</v>
      </c>
      <c r="N12" s="5">
        <v>8615.1</v>
      </c>
      <c r="O12" s="8">
        <f t="shared" si="0"/>
        <v>86546.880000000005</v>
      </c>
      <c r="P12" s="1">
        <f t="shared" si="1"/>
        <v>12</v>
      </c>
      <c r="Q12" s="5">
        <f t="shared" si="2"/>
        <v>7212.2400000000007</v>
      </c>
    </row>
    <row r="13" spans="1:17">
      <c r="A13" s="4" t="s">
        <v>75</v>
      </c>
      <c r="B13" s="1" t="s">
        <v>74</v>
      </c>
      <c r="C13" s="5">
        <v>12998.82</v>
      </c>
      <c r="D13" s="5">
        <v>14996.16</v>
      </c>
      <c r="E13" s="5">
        <v>14742.36</v>
      </c>
      <c r="F13" s="5">
        <v>17327.16</v>
      </c>
      <c r="G13" s="5">
        <v>10497.6</v>
      </c>
      <c r="H13" s="5">
        <v>7220.34</v>
      </c>
      <c r="I13" s="5">
        <v>6724.14</v>
      </c>
      <c r="J13" s="5">
        <v>8508.7800000000007</v>
      </c>
      <c r="K13" s="5">
        <v>12247.86</v>
      </c>
      <c r="L13" s="5">
        <v>16544.64</v>
      </c>
      <c r="M13" s="5">
        <v>14904.96</v>
      </c>
      <c r="N13" s="5">
        <v>14347.62</v>
      </c>
      <c r="O13" s="8">
        <f t="shared" si="0"/>
        <v>151060.44</v>
      </c>
      <c r="P13" s="1">
        <f t="shared" si="1"/>
        <v>12</v>
      </c>
      <c r="Q13" s="5">
        <f t="shared" si="2"/>
        <v>12588.37</v>
      </c>
    </row>
    <row r="14" spans="1:17">
      <c r="A14" s="4">
        <v>70017</v>
      </c>
      <c r="B14" s="1" t="s">
        <v>15</v>
      </c>
      <c r="C14" s="5">
        <v>28203.35</v>
      </c>
      <c r="D14" s="5">
        <v>27971.34</v>
      </c>
      <c r="E14" s="5">
        <v>28717.94</v>
      </c>
      <c r="F14" s="5">
        <v>31955.75</v>
      </c>
      <c r="G14" s="5">
        <v>25343.11</v>
      </c>
      <c r="H14" s="5">
        <v>20007.72</v>
      </c>
      <c r="I14" s="5">
        <v>20830.86</v>
      </c>
      <c r="J14" s="5">
        <v>24113.07</v>
      </c>
      <c r="K14" s="5">
        <v>23268.62</v>
      </c>
      <c r="L14" s="5">
        <v>32062.47</v>
      </c>
      <c r="M14" s="5">
        <v>28186.31</v>
      </c>
      <c r="N14" s="5">
        <v>25824.76</v>
      </c>
      <c r="O14" s="8">
        <f t="shared" si="0"/>
        <v>316485.3</v>
      </c>
      <c r="P14" s="1">
        <f t="shared" si="1"/>
        <v>12</v>
      </c>
      <c r="Q14" s="5">
        <f t="shared" si="2"/>
        <v>26373.774999999998</v>
      </c>
    </row>
    <row r="15" spans="1:17">
      <c r="A15" s="4">
        <v>70018</v>
      </c>
      <c r="B15" s="1" t="s">
        <v>16</v>
      </c>
      <c r="C15" s="5">
        <v>34820.43</v>
      </c>
      <c r="D15" s="5">
        <v>30946.17</v>
      </c>
      <c r="E15" s="5">
        <v>30827.75</v>
      </c>
      <c r="F15" s="5">
        <v>32242.59</v>
      </c>
      <c r="G15" s="5">
        <v>20841.21</v>
      </c>
      <c r="H15" s="5">
        <v>15261.32</v>
      </c>
      <c r="I15" s="5">
        <v>15959.24</v>
      </c>
      <c r="J15" s="5">
        <v>20337.04</v>
      </c>
      <c r="K15" s="5">
        <v>24397.119999999999</v>
      </c>
      <c r="L15" s="31">
        <v>36259.46</v>
      </c>
      <c r="M15" s="5">
        <v>33692.839999999997</v>
      </c>
      <c r="N15" s="5">
        <v>29209.05</v>
      </c>
      <c r="O15" s="8">
        <f t="shared" si="0"/>
        <v>324794.21999999997</v>
      </c>
      <c r="P15" s="1">
        <f t="shared" si="1"/>
        <v>12</v>
      </c>
      <c r="Q15" s="5">
        <f t="shared" si="2"/>
        <v>27066.184999999998</v>
      </c>
    </row>
    <row r="16" spans="1:17">
      <c r="A16" s="4">
        <v>70019</v>
      </c>
      <c r="B16" s="1" t="s">
        <v>17</v>
      </c>
      <c r="C16" s="5">
        <v>11364.8</v>
      </c>
      <c r="D16" s="5">
        <v>10252.48</v>
      </c>
      <c r="E16" s="5">
        <v>8391.01</v>
      </c>
      <c r="F16" s="5">
        <v>9707.57</v>
      </c>
      <c r="G16" s="5">
        <v>6191.38</v>
      </c>
      <c r="H16" s="5">
        <v>6626.07</v>
      </c>
      <c r="I16" s="5">
        <v>6900.67</v>
      </c>
      <c r="J16" s="5">
        <v>8063.41</v>
      </c>
      <c r="K16" s="5">
        <v>10871.52</v>
      </c>
      <c r="L16" s="5">
        <v>13466.57</v>
      </c>
      <c r="M16" s="5">
        <v>11092.84</v>
      </c>
      <c r="N16" s="5">
        <v>10956.95</v>
      </c>
      <c r="O16" s="8">
        <f t="shared" si="0"/>
        <v>113885.27</v>
      </c>
      <c r="P16" s="1">
        <f t="shared" si="1"/>
        <v>12</v>
      </c>
      <c r="Q16" s="5">
        <f t="shared" si="2"/>
        <v>9490.439166666667</v>
      </c>
    </row>
    <row r="17" spans="1:17">
      <c r="A17" s="4">
        <v>70020</v>
      </c>
      <c r="B17" s="1" t="s">
        <v>18</v>
      </c>
      <c r="C17" s="5">
        <v>9221.39</v>
      </c>
      <c r="D17" s="5">
        <v>7983</v>
      </c>
      <c r="E17" s="5">
        <v>7592.85</v>
      </c>
      <c r="F17" s="5">
        <v>8270.18</v>
      </c>
      <c r="G17" s="5">
        <v>5704.14</v>
      </c>
      <c r="H17" s="5">
        <v>6748.43</v>
      </c>
      <c r="I17" s="5">
        <v>4106.22</v>
      </c>
      <c r="J17" s="5">
        <v>6059.74</v>
      </c>
      <c r="K17" s="5">
        <v>7257.98</v>
      </c>
      <c r="L17" s="5">
        <v>8849.19</v>
      </c>
      <c r="M17" s="5">
        <v>6601.98</v>
      </c>
      <c r="N17" s="5">
        <v>9394.41</v>
      </c>
      <c r="O17" s="8">
        <f t="shared" si="0"/>
        <v>87789.51</v>
      </c>
      <c r="P17" s="1">
        <f t="shared" si="1"/>
        <v>12</v>
      </c>
      <c r="Q17" s="5">
        <f t="shared" si="2"/>
        <v>7315.7924999999996</v>
      </c>
    </row>
    <row r="18" spans="1:17">
      <c r="A18" s="4">
        <v>70021</v>
      </c>
      <c r="B18" s="1" t="s">
        <v>60</v>
      </c>
      <c r="C18" s="5">
        <v>35896.980000000003</v>
      </c>
      <c r="D18" s="5">
        <v>25012.26</v>
      </c>
      <c r="E18" s="5">
        <v>44040.66</v>
      </c>
      <c r="F18" s="5">
        <v>42758.04</v>
      </c>
      <c r="G18" s="5">
        <v>31652.46</v>
      </c>
      <c r="H18" s="5">
        <v>26181.9</v>
      </c>
      <c r="I18" s="5">
        <v>21686.34</v>
      </c>
      <c r="J18" s="5">
        <v>26361.3</v>
      </c>
      <c r="K18" s="5">
        <v>30716.1</v>
      </c>
      <c r="L18" s="5">
        <v>40792.44</v>
      </c>
      <c r="M18" s="5">
        <v>41632.019999999997</v>
      </c>
      <c r="N18" s="5">
        <v>32961</v>
      </c>
      <c r="O18" s="8">
        <f t="shared" si="0"/>
        <v>399691.5</v>
      </c>
      <c r="P18" s="1">
        <f t="shared" si="1"/>
        <v>12</v>
      </c>
      <c r="Q18" s="5">
        <f t="shared" si="2"/>
        <v>33307.625</v>
      </c>
    </row>
    <row r="19" spans="1:17">
      <c r="A19" s="4">
        <v>70022</v>
      </c>
      <c r="B19" s="1" t="s">
        <v>19</v>
      </c>
      <c r="C19" s="5">
        <v>1014.08</v>
      </c>
      <c r="D19" s="5">
        <v>1178.49</v>
      </c>
      <c r="E19" s="5">
        <v>1285.42</v>
      </c>
      <c r="F19" s="5">
        <v>1456.24</v>
      </c>
      <c r="G19" s="5">
        <v>981.76</v>
      </c>
      <c r="H19" s="5">
        <v>1563.45</v>
      </c>
      <c r="I19" s="5">
        <v>790.07</v>
      </c>
      <c r="J19" s="5">
        <v>816.32</v>
      </c>
      <c r="K19" s="5">
        <v>895.58</v>
      </c>
      <c r="L19" s="31">
        <v>1988.41</v>
      </c>
      <c r="M19" s="31">
        <v>1233.8699999999999</v>
      </c>
      <c r="N19" s="31">
        <v>1509.84</v>
      </c>
      <c r="O19" s="8">
        <f t="shared" si="0"/>
        <v>14713.529999999999</v>
      </c>
      <c r="P19" s="1">
        <f t="shared" si="1"/>
        <v>12</v>
      </c>
      <c r="Q19" s="5">
        <f t="shared" si="2"/>
        <v>1226.1274999999998</v>
      </c>
    </row>
    <row r="20" spans="1:17">
      <c r="A20" s="4">
        <v>70023</v>
      </c>
      <c r="B20" s="1" t="s">
        <v>20</v>
      </c>
      <c r="C20" s="5">
        <v>1945.98</v>
      </c>
      <c r="D20" s="5">
        <v>1365.19</v>
      </c>
      <c r="E20" s="5">
        <v>1376.04</v>
      </c>
      <c r="F20" s="5">
        <v>1498.44</v>
      </c>
      <c r="G20" s="5">
        <v>1140.54</v>
      </c>
      <c r="H20" s="5">
        <v>1225.2</v>
      </c>
      <c r="I20" s="5">
        <v>1105.2</v>
      </c>
      <c r="J20" s="5">
        <v>1048.26</v>
      </c>
      <c r="K20" s="5">
        <v>964.44</v>
      </c>
      <c r="L20" s="5">
        <v>1284.6600000000001</v>
      </c>
      <c r="M20" s="5">
        <v>1090.32</v>
      </c>
      <c r="N20" s="5">
        <v>1028.94</v>
      </c>
      <c r="O20" s="8">
        <f t="shared" si="0"/>
        <v>15073.210000000001</v>
      </c>
      <c r="P20" s="1">
        <f t="shared" si="1"/>
        <v>12</v>
      </c>
      <c r="Q20" s="5">
        <f t="shared" si="2"/>
        <v>1256.1008333333334</v>
      </c>
    </row>
    <row r="21" spans="1:17">
      <c r="A21" s="4" t="s">
        <v>66</v>
      </c>
      <c r="B21" s="1" t="s">
        <v>21</v>
      </c>
      <c r="C21" s="5">
        <v>5404</v>
      </c>
      <c r="D21" s="5">
        <v>5819</v>
      </c>
      <c r="E21" s="5">
        <v>4763</v>
      </c>
      <c r="F21" s="5">
        <v>4845</v>
      </c>
      <c r="G21" s="5">
        <v>2490</v>
      </c>
      <c r="H21" s="5">
        <v>2079</v>
      </c>
      <c r="I21" s="5">
        <v>1809</v>
      </c>
      <c r="J21" s="5">
        <v>2147</v>
      </c>
      <c r="K21" s="5">
        <v>2863</v>
      </c>
      <c r="L21" s="5">
        <v>4422</v>
      </c>
      <c r="M21" s="31">
        <v>5735</v>
      </c>
      <c r="N21" s="5">
        <v>4339</v>
      </c>
      <c r="O21" s="8">
        <f t="shared" si="0"/>
        <v>46715</v>
      </c>
      <c r="P21" s="1">
        <f t="shared" si="1"/>
        <v>12</v>
      </c>
      <c r="Q21" s="5">
        <f t="shared" si="2"/>
        <v>3892.9166666666665</v>
      </c>
    </row>
    <row r="22" spans="1:17">
      <c r="A22" s="4">
        <v>70026</v>
      </c>
      <c r="B22" s="1" t="s">
        <v>22</v>
      </c>
      <c r="C22" s="5">
        <v>11661.89</v>
      </c>
      <c r="D22" s="5">
        <v>10850.09</v>
      </c>
      <c r="E22" s="5">
        <v>10601.3</v>
      </c>
      <c r="F22" s="5">
        <v>8988.69</v>
      </c>
      <c r="G22" s="5">
        <v>6320.54</v>
      </c>
      <c r="H22" s="5">
        <v>3402.51</v>
      </c>
      <c r="I22" s="5">
        <v>3839.16</v>
      </c>
      <c r="J22" s="5">
        <v>3685.28</v>
      </c>
      <c r="K22" s="5">
        <v>5769.52</v>
      </c>
      <c r="L22" s="5">
        <v>10312.14</v>
      </c>
      <c r="M22" s="5">
        <v>11158.7</v>
      </c>
      <c r="N22" s="5">
        <v>11166.72</v>
      </c>
      <c r="O22" s="8">
        <f t="shared" si="0"/>
        <v>97756.540000000008</v>
      </c>
      <c r="P22" s="1">
        <f t="shared" si="1"/>
        <v>12</v>
      </c>
      <c r="Q22" s="5">
        <f t="shared" si="2"/>
        <v>8146.378333333334</v>
      </c>
    </row>
    <row r="23" spans="1:17">
      <c r="A23" s="4">
        <v>70027</v>
      </c>
      <c r="B23" s="1" t="s">
        <v>23</v>
      </c>
      <c r="C23" s="5">
        <v>792.22</v>
      </c>
      <c r="D23" s="5">
        <v>891.93</v>
      </c>
      <c r="E23" s="5">
        <v>823.82</v>
      </c>
      <c r="F23" s="5">
        <v>851.39</v>
      </c>
      <c r="G23" s="5">
        <v>718.9</v>
      </c>
      <c r="H23" s="5">
        <v>756.45</v>
      </c>
      <c r="I23" s="5">
        <v>803.87</v>
      </c>
      <c r="J23" s="5">
        <v>789.23</v>
      </c>
      <c r="K23" s="5">
        <v>819.59</v>
      </c>
      <c r="L23" s="5">
        <v>918.75</v>
      </c>
      <c r="M23" s="5">
        <v>755.14</v>
      </c>
      <c r="N23" s="5">
        <v>779.29</v>
      </c>
      <c r="O23" s="8">
        <f t="shared" si="0"/>
        <v>9700.5799999999981</v>
      </c>
      <c r="P23" s="1">
        <f t="shared" si="1"/>
        <v>12</v>
      </c>
      <c r="Q23" s="5">
        <f t="shared" si="2"/>
        <v>808.38166666666655</v>
      </c>
    </row>
    <row r="24" spans="1:17">
      <c r="A24" s="4" t="s">
        <v>78</v>
      </c>
      <c r="B24" s="1" t="s">
        <v>77</v>
      </c>
      <c r="C24" s="5">
        <v>2541.23</v>
      </c>
      <c r="D24" s="5">
        <v>2653.73</v>
      </c>
      <c r="E24" s="5">
        <v>2292.13</v>
      </c>
      <c r="F24" s="5">
        <v>2510.25</v>
      </c>
      <c r="G24" s="5">
        <v>1799.4</v>
      </c>
      <c r="H24" s="5">
        <v>1877.1</v>
      </c>
      <c r="I24" s="5">
        <v>2016.58</v>
      </c>
      <c r="J24" s="5">
        <v>1927.82</v>
      </c>
      <c r="K24" s="5">
        <v>2572.71</v>
      </c>
      <c r="L24" s="5">
        <v>2884.83</v>
      </c>
      <c r="M24" s="5">
        <v>2494.27</v>
      </c>
      <c r="N24" s="5">
        <v>2216.4899999999998</v>
      </c>
      <c r="O24" s="8">
        <f t="shared" si="0"/>
        <v>27786.54</v>
      </c>
      <c r="P24" s="1">
        <f t="shared" si="1"/>
        <v>12</v>
      </c>
      <c r="Q24" s="5">
        <f t="shared" si="2"/>
        <v>2315.5450000000001</v>
      </c>
    </row>
    <row r="25" spans="1:17">
      <c r="A25" s="4" t="s">
        <v>68</v>
      </c>
      <c r="B25" s="1" t="s">
        <v>24</v>
      </c>
      <c r="C25" s="5">
        <v>1995.57</v>
      </c>
      <c r="D25" s="5">
        <v>2012.03</v>
      </c>
      <c r="E25" s="5">
        <v>1351.47</v>
      </c>
      <c r="F25" s="5">
        <v>2618.91</v>
      </c>
      <c r="G25" s="5">
        <v>1897.4</v>
      </c>
      <c r="H25" s="5"/>
      <c r="I25" s="5">
        <v>1464.72</v>
      </c>
      <c r="J25" s="31">
        <v>1474.71</v>
      </c>
      <c r="K25" s="5">
        <v>1616.78</v>
      </c>
      <c r="L25" s="31">
        <v>1464.72</v>
      </c>
      <c r="M25" s="31">
        <v>2560.04</v>
      </c>
      <c r="N25" s="5">
        <v>1931.18</v>
      </c>
      <c r="O25" s="8">
        <f t="shared" si="0"/>
        <v>20387.53</v>
      </c>
      <c r="P25" s="1">
        <f t="shared" si="1"/>
        <v>11</v>
      </c>
      <c r="Q25" s="5">
        <f t="shared" si="2"/>
        <v>1853.411818181818</v>
      </c>
    </row>
    <row r="26" spans="1:17">
      <c r="A26" s="4">
        <v>70030</v>
      </c>
      <c r="B26" s="1" t="s">
        <v>81</v>
      </c>
      <c r="C26" s="5">
        <v>49124.22</v>
      </c>
      <c r="D26" s="5">
        <v>54077.48</v>
      </c>
      <c r="E26" s="5">
        <v>50097.23</v>
      </c>
      <c r="F26" s="5">
        <v>62401.18</v>
      </c>
      <c r="G26" s="5">
        <v>66304.13</v>
      </c>
      <c r="H26" s="5">
        <v>58486.59</v>
      </c>
      <c r="I26" s="5">
        <v>25824.1</v>
      </c>
      <c r="J26" s="5">
        <v>32269.439999999999</v>
      </c>
      <c r="K26" s="5">
        <v>42107.49</v>
      </c>
      <c r="L26" s="5">
        <v>59751.53</v>
      </c>
      <c r="M26" s="31">
        <v>69784.41</v>
      </c>
      <c r="N26" s="5">
        <v>55558.84</v>
      </c>
      <c r="O26" s="8">
        <f t="shared" si="0"/>
        <v>625786.6399999999</v>
      </c>
      <c r="P26" s="1">
        <f t="shared" si="1"/>
        <v>12</v>
      </c>
      <c r="Q26" s="5">
        <f t="shared" si="2"/>
        <v>52148.886666666658</v>
      </c>
    </row>
    <row r="27" spans="1:17">
      <c r="A27" s="4" t="s">
        <v>26</v>
      </c>
      <c r="B27" s="1" t="s">
        <v>25</v>
      </c>
      <c r="C27" s="5">
        <v>1571.4</v>
      </c>
      <c r="D27" s="5">
        <v>1395.82</v>
      </c>
      <c r="E27" s="5">
        <v>1112.3800000000001</v>
      </c>
      <c r="F27" s="5">
        <v>1422.56</v>
      </c>
      <c r="G27" s="5">
        <v>1130.97</v>
      </c>
      <c r="H27" s="5">
        <v>968.18</v>
      </c>
      <c r="I27" s="5">
        <v>1113.0999999999999</v>
      </c>
      <c r="J27" s="5">
        <v>1220.32</v>
      </c>
      <c r="K27" s="5">
        <v>1805.13</v>
      </c>
      <c r="L27" s="5">
        <v>1711.32</v>
      </c>
      <c r="M27" s="5">
        <v>2071.06</v>
      </c>
      <c r="N27" s="5">
        <v>1407.28</v>
      </c>
      <c r="O27" s="8">
        <f t="shared" si="0"/>
        <v>16929.52</v>
      </c>
      <c r="P27" s="1">
        <f t="shared" si="1"/>
        <v>12</v>
      </c>
      <c r="Q27" s="5">
        <f t="shared" si="2"/>
        <v>1410.7933333333333</v>
      </c>
    </row>
    <row r="28" spans="1:17">
      <c r="A28" s="4">
        <v>70032</v>
      </c>
      <c r="B28" s="1" t="s">
        <v>11</v>
      </c>
      <c r="C28" s="5">
        <v>5707.51</v>
      </c>
      <c r="D28" s="5">
        <v>4245.51</v>
      </c>
      <c r="E28" s="5">
        <v>4138.46</v>
      </c>
      <c r="F28" s="5">
        <v>4756.8500000000004</v>
      </c>
      <c r="G28" s="5">
        <v>2749.4</v>
      </c>
      <c r="H28" s="5">
        <v>1854.59</v>
      </c>
      <c r="I28" s="5">
        <v>2133.54</v>
      </c>
      <c r="J28" s="5">
        <v>1784.48</v>
      </c>
      <c r="K28" s="5">
        <v>2784.57</v>
      </c>
      <c r="L28" s="5">
        <v>3764.87</v>
      </c>
      <c r="M28" s="5">
        <v>2925.42</v>
      </c>
      <c r="N28" s="5">
        <v>3367.37</v>
      </c>
      <c r="O28" s="8">
        <f t="shared" si="0"/>
        <v>40212.570000000007</v>
      </c>
      <c r="P28" s="1">
        <f t="shared" si="1"/>
        <v>12</v>
      </c>
      <c r="Q28" s="5">
        <f t="shared" si="2"/>
        <v>3351.0475000000006</v>
      </c>
    </row>
    <row r="29" spans="1:17">
      <c r="A29" s="4">
        <v>70034</v>
      </c>
      <c r="B29" s="1" t="s">
        <v>27</v>
      </c>
      <c r="C29" s="5"/>
      <c r="D29" s="5"/>
      <c r="E29" s="5"/>
      <c r="K29" s="5"/>
      <c r="O29" s="8">
        <f t="shared" si="0"/>
        <v>0</v>
      </c>
      <c r="P29" s="1">
        <f t="shared" si="1"/>
        <v>0</v>
      </c>
      <c r="Q29" s="5"/>
    </row>
    <row r="30" spans="1:17">
      <c r="A30" s="4">
        <v>70035</v>
      </c>
      <c r="B30" s="1" t="s">
        <v>28</v>
      </c>
      <c r="C30" s="5">
        <v>32900.99</v>
      </c>
      <c r="D30" s="5">
        <v>28185.24</v>
      </c>
      <c r="E30" s="5">
        <v>41686.26</v>
      </c>
      <c r="F30" s="5">
        <v>43516.03</v>
      </c>
      <c r="G30" s="5">
        <v>34803.18</v>
      </c>
      <c r="H30" s="5">
        <v>23754.41</v>
      </c>
      <c r="I30" s="5">
        <v>25360.62</v>
      </c>
      <c r="J30" s="5">
        <v>27405.78</v>
      </c>
      <c r="K30" s="5">
        <v>31045.95</v>
      </c>
      <c r="L30" s="5">
        <v>42233.99</v>
      </c>
      <c r="M30" s="5">
        <v>50247.97</v>
      </c>
      <c r="N30" s="5">
        <v>31242.78</v>
      </c>
      <c r="O30" s="8">
        <f t="shared" si="0"/>
        <v>412383.19999999995</v>
      </c>
      <c r="P30" s="1">
        <f t="shared" si="1"/>
        <v>12</v>
      </c>
      <c r="Q30" s="5">
        <f t="shared" si="2"/>
        <v>34365.266666666663</v>
      </c>
    </row>
    <row r="31" spans="1:17">
      <c r="A31" s="4">
        <v>70037</v>
      </c>
      <c r="B31" s="1" t="s">
        <v>29</v>
      </c>
      <c r="C31" s="5">
        <v>6706.28</v>
      </c>
      <c r="D31" s="5">
        <v>6871.67</v>
      </c>
      <c r="E31" s="5">
        <v>5994.34</v>
      </c>
      <c r="F31" s="5">
        <v>7362.76</v>
      </c>
      <c r="G31" s="5">
        <v>4560.68</v>
      </c>
      <c r="H31" s="5">
        <v>4027.53</v>
      </c>
      <c r="I31" s="5">
        <v>3961.9</v>
      </c>
      <c r="J31" s="5">
        <v>4040.02</v>
      </c>
      <c r="K31" s="5">
        <v>5176.6499999999996</v>
      </c>
      <c r="L31" s="5">
        <v>7453.73</v>
      </c>
      <c r="M31" s="5">
        <v>5841.06</v>
      </c>
      <c r="N31" s="5">
        <v>5732.5</v>
      </c>
      <c r="O31" s="8">
        <f t="shared" si="0"/>
        <v>67729.119999999995</v>
      </c>
      <c r="P31" s="1">
        <f t="shared" si="1"/>
        <v>12</v>
      </c>
      <c r="Q31" s="5">
        <f t="shared" si="2"/>
        <v>5644.0933333333332</v>
      </c>
    </row>
    <row r="32" spans="1:17">
      <c r="A32" s="4">
        <v>70038</v>
      </c>
      <c r="B32" s="1" t="s">
        <v>30</v>
      </c>
      <c r="C32" s="5">
        <v>8161.51</v>
      </c>
      <c r="D32" s="5">
        <v>8335.92</v>
      </c>
      <c r="E32" s="5">
        <v>8523.2800000000007</v>
      </c>
      <c r="F32" s="5">
        <v>9415.77</v>
      </c>
      <c r="G32" s="5">
        <v>7463.32</v>
      </c>
      <c r="H32" s="5">
        <v>5919.94</v>
      </c>
      <c r="I32" s="5">
        <v>6159.19</v>
      </c>
      <c r="J32" s="5">
        <v>6271.94</v>
      </c>
      <c r="K32" s="5">
        <v>7503.82</v>
      </c>
      <c r="L32" s="5">
        <v>8768.2900000000009</v>
      </c>
      <c r="M32" s="5">
        <v>7844.42</v>
      </c>
      <c r="N32" s="5">
        <v>7574.35</v>
      </c>
      <c r="O32" s="8">
        <f t="shared" si="0"/>
        <v>91941.750000000015</v>
      </c>
      <c r="P32" s="1">
        <f t="shared" si="1"/>
        <v>12</v>
      </c>
      <c r="Q32" s="5">
        <f t="shared" si="2"/>
        <v>7661.8125000000009</v>
      </c>
    </row>
    <row r="33" spans="1:17">
      <c r="A33" s="4" t="s">
        <v>71</v>
      </c>
      <c r="B33" s="1" t="s">
        <v>31</v>
      </c>
      <c r="C33" s="5">
        <v>9452</v>
      </c>
      <c r="D33" s="5">
        <v>7977</v>
      </c>
      <c r="E33" s="5">
        <v>7115</v>
      </c>
      <c r="F33" s="5">
        <v>8825</v>
      </c>
      <c r="G33" s="5">
        <v>5452</v>
      </c>
      <c r="H33" s="5">
        <v>2986</v>
      </c>
      <c r="I33" s="5">
        <v>3535</v>
      </c>
      <c r="J33" s="5">
        <v>4902</v>
      </c>
      <c r="K33" s="5">
        <v>6514</v>
      </c>
      <c r="L33" s="5">
        <v>8588</v>
      </c>
      <c r="M33" s="5">
        <v>7761</v>
      </c>
      <c r="N33" s="5">
        <v>8934</v>
      </c>
      <c r="O33" s="8">
        <f t="shared" si="0"/>
        <v>82041</v>
      </c>
      <c r="P33" s="1">
        <f t="shared" si="1"/>
        <v>12</v>
      </c>
      <c r="Q33" s="5">
        <f t="shared" si="2"/>
        <v>6836.75</v>
      </c>
    </row>
    <row r="34" spans="1:17">
      <c r="A34" s="4" t="s">
        <v>86</v>
      </c>
      <c r="B34" s="1" t="s">
        <v>32</v>
      </c>
      <c r="C34" s="5">
        <v>10393.06</v>
      </c>
      <c r="D34" s="5">
        <v>10155.799999999999</v>
      </c>
      <c r="E34" s="5">
        <v>10189.370000000001</v>
      </c>
      <c r="F34" s="5">
        <v>9351.81</v>
      </c>
      <c r="G34" s="5">
        <v>8764.19</v>
      </c>
      <c r="H34" s="5">
        <v>7872.71</v>
      </c>
      <c r="I34" s="5">
        <v>8822.7999999999993</v>
      </c>
      <c r="J34" s="5">
        <v>9115.4599999999991</v>
      </c>
      <c r="K34" s="5">
        <v>10572.94</v>
      </c>
      <c r="L34" s="5">
        <v>12165.58</v>
      </c>
      <c r="M34" s="5">
        <v>12949.13</v>
      </c>
      <c r="N34" s="5">
        <v>11095.15</v>
      </c>
      <c r="O34" s="8">
        <f t="shared" si="0"/>
        <v>121448.00000000001</v>
      </c>
      <c r="P34" s="1">
        <f t="shared" si="1"/>
        <v>12</v>
      </c>
      <c r="Q34" s="5">
        <f t="shared" si="2"/>
        <v>10120.666666666668</v>
      </c>
    </row>
    <row r="35" spans="1:17">
      <c r="A35" s="4">
        <v>70043</v>
      </c>
      <c r="B35" s="1" t="s">
        <v>33</v>
      </c>
      <c r="C35" s="5">
        <v>1877.1</v>
      </c>
      <c r="D35" s="5">
        <v>1089.1199999999999</v>
      </c>
      <c r="E35" s="5">
        <v>2620.17</v>
      </c>
      <c r="F35" s="5">
        <v>2269.94</v>
      </c>
      <c r="G35" s="5">
        <v>2112.0500000000002</v>
      </c>
      <c r="H35" s="5">
        <v>1949.6</v>
      </c>
      <c r="I35" s="5"/>
      <c r="J35" s="5"/>
      <c r="K35" s="5"/>
      <c r="L35" s="5"/>
      <c r="M35" s="5"/>
      <c r="N35" s="5"/>
      <c r="O35" s="8">
        <f t="shared" si="0"/>
        <v>11917.980000000001</v>
      </c>
      <c r="P35" s="1">
        <f t="shared" si="1"/>
        <v>6</v>
      </c>
      <c r="Q35" s="5">
        <f t="shared" si="2"/>
        <v>1986.3300000000002</v>
      </c>
    </row>
    <row r="36" spans="1:17">
      <c r="A36" s="4">
        <v>70044</v>
      </c>
      <c r="B36" s="1" t="s">
        <v>34</v>
      </c>
      <c r="C36" s="5">
        <v>9684.8799999999992</v>
      </c>
      <c r="D36" s="5">
        <v>8217.7000000000007</v>
      </c>
      <c r="E36" s="5">
        <v>7558.02</v>
      </c>
      <c r="F36" s="5">
        <v>8790.2800000000007</v>
      </c>
      <c r="G36" s="5">
        <v>5332.69</v>
      </c>
      <c r="H36" s="5">
        <v>4362.8</v>
      </c>
      <c r="I36" s="5">
        <v>4375.8</v>
      </c>
      <c r="J36" s="5">
        <v>5171.7</v>
      </c>
      <c r="K36" s="5">
        <v>7129.23</v>
      </c>
      <c r="L36" s="5">
        <v>10472.6</v>
      </c>
      <c r="M36" s="5">
        <v>7683.33</v>
      </c>
      <c r="N36" s="5">
        <v>7457.24</v>
      </c>
      <c r="O36" s="8">
        <f t="shared" si="0"/>
        <v>86236.270000000019</v>
      </c>
      <c r="P36" s="1">
        <f t="shared" si="1"/>
        <v>12</v>
      </c>
      <c r="Q36" s="5">
        <f t="shared" si="2"/>
        <v>7186.3558333333349</v>
      </c>
    </row>
    <row r="37" spans="1:17">
      <c r="A37" s="4">
        <v>70046</v>
      </c>
      <c r="B37" s="1" t="s">
        <v>35</v>
      </c>
      <c r="C37" s="5">
        <v>1248.1300000000001</v>
      </c>
      <c r="D37" s="5">
        <v>1311.84</v>
      </c>
      <c r="E37" s="5">
        <v>1264.24</v>
      </c>
      <c r="F37" s="5">
        <v>1358.48</v>
      </c>
      <c r="G37" s="5">
        <v>1143.01</v>
      </c>
      <c r="H37" s="5">
        <v>1097.07</v>
      </c>
      <c r="I37" s="5">
        <v>1086.1199999999999</v>
      </c>
      <c r="J37" s="5">
        <v>1140.93</v>
      </c>
      <c r="K37" s="5">
        <v>1208.5999999999999</v>
      </c>
      <c r="L37" s="5">
        <v>1286.21</v>
      </c>
      <c r="M37" s="5">
        <v>1280.97</v>
      </c>
      <c r="N37" s="5">
        <v>1141.1400000000001</v>
      </c>
      <c r="O37" s="8">
        <f t="shared" si="0"/>
        <v>14566.74</v>
      </c>
      <c r="P37" s="1">
        <f t="shared" si="1"/>
        <v>12</v>
      </c>
      <c r="Q37" s="5">
        <f t="shared" si="2"/>
        <v>1213.895</v>
      </c>
    </row>
    <row r="38" spans="1:17">
      <c r="A38" s="4">
        <v>70048</v>
      </c>
      <c r="B38" s="1" t="s">
        <v>36</v>
      </c>
      <c r="C38" s="5">
        <v>2444.54</v>
      </c>
      <c r="D38" s="5">
        <v>2317.8200000000002</v>
      </c>
      <c r="E38" s="5">
        <v>2635.96</v>
      </c>
      <c r="F38" s="5">
        <v>2885.81</v>
      </c>
      <c r="G38" s="5">
        <v>2122.9699999999998</v>
      </c>
      <c r="H38" s="5">
        <v>1712.51</v>
      </c>
      <c r="I38" s="5">
        <v>2218.52</v>
      </c>
      <c r="J38" s="5">
        <v>2591.62</v>
      </c>
      <c r="K38" s="5">
        <v>3390.15</v>
      </c>
      <c r="L38" s="5">
        <v>3507.31</v>
      </c>
      <c r="M38" s="5">
        <v>3164.71</v>
      </c>
      <c r="N38" s="5">
        <v>3453.14</v>
      </c>
      <c r="O38" s="8">
        <f t="shared" si="0"/>
        <v>32445.06</v>
      </c>
      <c r="P38" s="1">
        <f t="shared" si="1"/>
        <v>12</v>
      </c>
      <c r="Q38" s="5">
        <f t="shared" si="2"/>
        <v>2703.7550000000001</v>
      </c>
    </row>
    <row r="39" spans="1:17">
      <c r="A39" s="4">
        <v>70049</v>
      </c>
      <c r="B39" s="1" t="s">
        <v>37</v>
      </c>
      <c r="C39" s="5">
        <v>261.56</v>
      </c>
      <c r="D39" s="5">
        <v>110.77</v>
      </c>
      <c r="E39" s="5">
        <v>150.19999999999999</v>
      </c>
      <c r="F39" s="5">
        <v>199.32</v>
      </c>
      <c r="G39" s="5">
        <v>98.24</v>
      </c>
      <c r="H39" s="5">
        <v>69.28</v>
      </c>
      <c r="I39" s="5">
        <v>66.86</v>
      </c>
      <c r="J39" s="5">
        <v>141.21</v>
      </c>
      <c r="K39" s="5">
        <v>166.88</v>
      </c>
      <c r="L39" s="5">
        <v>269.89</v>
      </c>
      <c r="M39" s="5">
        <v>125.52</v>
      </c>
      <c r="N39" s="5">
        <v>131.4</v>
      </c>
      <c r="O39" s="8">
        <f t="shared" si="0"/>
        <v>1791.1299999999997</v>
      </c>
      <c r="P39" s="1">
        <f t="shared" si="1"/>
        <v>12</v>
      </c>
      <c r="Q39" s="5">
        <f t="shared" si="2"/>
        <v>149.2608333333333</v>
      </c>
    </row>
    <row r="40" spans="1:17">
      <c r="A40" s="4" t="s">
        <v>79</v>
      </c>
      <c r="B40" s="1" t="s">
        <v>80</v>
      </c>
      <c r="C40" s="5">
        <v>9027</v>
      </c>
      <c r="D40" s="5">
        <v>8769</v>
      </c>
      <c r="E40" s="5">
        <v>5402</v>
      </c>
      <c r="F40" s="5">
        <v>8497</v>
      </c>
      <c r="G40" s="5">
        <v>4970</v>
      </c>
      <c r="H40" s="5">
        <v>4128</v>
      </c>
      <c r="I40" s="5">
        <v>4093</v>
      </c>
      <c r="J40" s="5">
        <v>4909</v>
      </c>
      <c r="K40" s="5">
        <v>7059</v>
      </c>
      <c r="L40" s="5">
        <v>8751</v>
      </c>
      <c r="M40" s="5">
        <v>7355</v>
      </c>
      <c r="N40" s="5">
        <v>7913</v>
      </c>
      <c r="O40" s="8">
        <f t="shared" si="0"/>
        <v>80873</v>
      </c>
      <c r="P40" s="1">
        <f t="shared" si="1"/>
        <v>12</v>
      </c>
      <c r="Q40" s="5">
        <f t="shared" si="2"/>
        <v>6739.416666666667</v>
      </c>
    </row>
    <row r="41" spans="1:17">
      <c r="A41" s="4" t="s">
        <v>2</v>
      </c>
      <c r="B41" s="1" t="s">
        <v>70</v>
      </c>
      <c r="C41" s="5">
        <v>5414.48</v>
      </c>
      <c r="D41" s="5">
        <v>5751.09</v>
      </c>
      <c r="E41" s="5">
        <v>5105.83</v>
      </c>
      <c r="F41" s="5">
        <v>5961.13</v>
      </c>
      <c r="G41" s="5">
        <v>4138.22</v>
      </c>
      <c r="H41" s="5">
        <v>3984.95</v>
      </c>
      <c r="I41" s="5">
        <v>3896.36</v>
      </c>
      <c r="J41" s="5">
        <v>3921.8</v>
      </c>
      <c r="K41" s="5">
        <v>4890.5200000000004</v>
      </c>
      <c r="L41" s="5">
        <v>5816.81</v>
      </c>
      <c r="M41" s="5">
        <v>5583.9</v>
      </c>
      <c r="N41" s="5">
        <v>5500.1</v>
      </c>
      <c r="O41" s="8">
        <f t="shared" si="0"/>
        <v>59965.19</v>
      </c>
      <c r="P41" s="1">
        <f t="shared" si="1"/>
        <v>12</v>
      </c>
      <c r="Q41" s="5">
        <f t="shared" si="2"/>
        <v>4997.0991666666669</v>
      </c>
    </row>
    <row r="42" spans="1:17">
      <c r="A42" s="4">
        <v>70052</v>
      </c>
      <c r="B42" s="1" t="s">
        <v>38</v>
      </c>
      <c r="C42" s="5">
        <v>4623.7</v>
      </c>
      <c r="D42" s="5">
        <v>4330.91</v>
      </c>
      <c r="E42" s="5">
        <v>4328.9799999999996</v>
      </c>
      <c r="F42" s="5">
        <v>3249.24</v>
      </c>
      <c r="G42" s="5">
        <v>3257.32</v>
      </c>
      <c r="H42" s="5">
        <v>2108.7800000000002</v>
      </c>
      <c r="I42" s="5">
        <v>2744.11</v>
      </c>
      <c r="J42" s="5">
        <v>3244.22</v>
      </c>
      <c r="K42" s="5">
        <v>3241.83</v>
      </c>
      <c r="L42" s="5">
        <v>4701.57</v>
      </c>
      <c r="M42" s="5">
        <v>4770</v>
      </c>
      <c r="N42" s="5">
        <v>5034.0600000000004</v>
      </c>
      <c r="O42" s="8">
        <f t="shared" si="0"/>
        <v>45634.720000000001</v>
      </c>
      <c r="P42" s="1">
        <f t="shared" si="1"/>
        <v>12</v>
      </c>
      <c r="Q42" s="5">
        <f t="shared" si="2"/>
        <v>3802.8933333333334</v>
      </c>
    </row>
    <row r="43" spans="1:17">
      <c r="A43" s="4">
        <v>70053</v>
      </c>
      <c r="B43" s="1" t="s">
        <v>39</v>
      </c>
      <c r="C43" s="5">
        <v>13958.28</v>
      </c>
      <c r="D43" s="5">
        <v>17708.41</v>
      </c>
      <c r="E43" s="5">
        <v>13672.14</v>
      </c>
      <c r="F43" s="5">
        <v>17596.2</v>
      </c>
      <c r="G43" s="5">
        <v>18395.53</v>
      </c>
      <c r="H43" s="5">
        <v>16027.75</v>
      </c>
      <c r="I43" s="5">
        <v>9684.35</v>
      </c>
      <c r="J43" s="5">
        <v>13259.49</v>
      </c>
      <c r="K43" s="5">
        <v>14645.39</v>
      </c>
      <c r="L43" s="5">
        <v>16132.22</v>
      </c>
      <c r="M43" s="5">
        <v>17035.38</v>
      </c>
      <c r="N43" s="5">
        <v>16204.13</v>
      </c>
      <c r="O43" s="8">
        <f t="shared" si="0"/>
        <v>184319.27000000002</v>
      </c>
      <c r="P43" s="1">
        <f t="shared" si="1"/>
        <v>12</v>
      </c>
      <c r="Q43" s="5">
        <f t="shared" si="2"/>
        <v>15359.939166666669</v>
      </c>
    </row>
    <row r="44" spans="1:17">
      <c r="A44" s="4">
        <v>70054</v>
      </c>
      <c r="B44" s="1" t="s">
        <v>40</v>
      </c>
      <c r="C44" s="5">
        <v>12340.71</v>
      </c>
      <c r="D44" s="5">
        <v>8273.73</v>
      </c>
      <c r="E44" s="5">
        <v>15597.44</v>
      </c>
      <c r="F44" s="5">
        <v>13244.93</v>
      </c>
      <c r="G44" s="5">
        <v>9098.41</v>
      </c>
      <c r="H44" s="5">
        <v>3731.95</v>
      </c>
      <c r="I44" s="5">
        <v>4171.63</v>
      </c>
      <c r="J44" s="5">
        <v>4083.88</v>
      </c>
      <c r="K44" s="5">
        <v>6546.38</v>
      </c>
      <c r="L44" s="5">
        <v>12272.91</v>
      </c>
      <c r="M44" s="31">
        <v>6792.59</v>
      </c>
      <c r="N44" s="5">
        <v>8033.42</v>
      </c>
      <c r="O44" s="8">
        <f t="shared" si="0"/>
        <v>104187.98000000001</v>
      </c>
      <c r="P44" s="1">
        <f t="shared" si="1"/>
        <v>12</v>
      </c>
      <c r="Q44" s="5">
        <f t="shared" si="2"/>
        <v>8682.3316666666669</v>
      </c>
    </row>
    <row r="45" spans="1:17">
      <c r="A45" s="4">
        <v>70055</v>
      </c>
      <c r="B45" s="1" t="s">
        <v>41</v>
      </c>
      <c r="C45" s="5">
        <v>5883.15</v>
      </c>
      <c r="D45" s="5">
        <v>6083.89</v>
      </c>
      <c r="E45" s="5">
        <v>4967.24</v>
      </c>
      <c r="F45" s="5">
        <v>5611.06</v>
      </c>
      <c r="G45" s="5">
        <v>4503.3500000000004</v>
      </c>
      <c r="H45" s="5">
        <v>3819.22</v>
      </c>
      <c r="I45" s="5">
        <v>4001.41</v>
      </c>
      <c r="J45" s="5">
        <v>4094.21</v>
      </c>
      <c r="K45" s="5">
        <v>5077.87</v>
      </c>
      <c r="L45" s="5">
        <v>6017.53</v>
      </c>
      <c r="M45" s="5">
        <v>5317.54</v>
      </c>
      <c r="N45" s="5">
        <v>5935.64</v>
      </c>
      <c r="O45" s="8">
        <f t="shared" si="0"/>
        <v>61312.110000000008</v>
      </c>
      <c r="P45" s="1">
        <f t="shared" si="1"/>
        <v>12</v>
      </c>
      <c r="Q45" s="5">
        <f t="shared" si="2"/>
        <v>5109.3425000000007</v>
      </c>
    </row>
    <row r="46" spans="1:17">
      <c r="A46" s="4">
        <v>70062</v>
      </c>
      <c r="B46" s="1" t="s">
        <v>42</v>
      </c>
      <c r="C46" s="5">
        <v>7715</v>
      </c>
      <c r="D46" s="5">
        <v>7298.54</v>
      </c>
      <c r="E46" s="5">
        <v>7130.17</v>
      </c>
      <c r="F46" s="5">
        <v>7992.17</v>
      </c>
      <c r="G46" s="5">
        <v>5747.15</v>
      </c>
      <c r="H46" s="5">
        <v>5313.49</v>
      </c>
      <c r="I46" s="5">
        <v>5202.76</v>
      </c>
      <c r="J46" s="5">
        <v>5366.62</v>
      </c>
      <c r="K46" s="5">
        <v>6495.26</v>
      </c>
      <c r="L46" s="5">
        <v>7985.33</v>
      </c>
      <c r="M46" s="5">
        <v>7539.03</v>
      </c>
      <c r="N46" s="5">
        <v>7142.12</v>
      </c>
      <c r="O46" s="8">
        <f t="shared" si="0"/>
        <v>80927.64</v>
      </c>
      <c r="P46" s="1">
        <f t="shared" si="1"/>
        <v>12</v>
      </c>
      <c r="Q46" s="5">
        <f t="shared" si="2"/>
        <v>6743.97</v>
      </c>
    </row>
    <row r="47" spans="1:17">
      <c r="A47" s="4">
        <v>70063</v>
      </c>
      <c r="B47" s="1" t="s">
        <v>43</v>
      </c>
      <c r="C47" s="5">
        <v>9221.5499999999993</v>
      </c>
      <c r="D47" s="5">
        <v>8993.32</v>
      </c>
      <c r="E47" s="5">
        <v>8687.89</v>
      </c>
      <c r="F47" s="5">
        <v>10019.620000000001</v>
      </c>
      <c r="G47" s="5">
        <v>8113.61</v>
      </c>
      <c r="H47" s="5">
        <v>6024.38</v>
      </c>
      <c r="I47" s="5">
        <v>6704.3</v>
      </c>
      <c r="J47" s="5">
        <v>7324.25</v>
      </c>
      <c r="K47" s="5">
        <v>8737.2000000000007</v>
      </c>
      <c r="L47" s="5">
        <v>9891.36</v>
      </c>
      <c r="M47" s="5">
        <v>9050.31</v>
      </c>
      <c r="N47" s="5">
        <v>9061.58</v>
      </c>
      <c r="O47" s="8">
        <f t="shared" si="0"/>
        <v>101829.37</v>
      </c>
      <c r="P47" s="1">
        <f t="shared" si="1"/>
        <v>12</v>
      </c>
      <c r="Q47" s="5">
        <f t="shared" si="2"/>
        <v>8485.7808333333323</v>
      </c>
    </row>
    <row r="48" spans="1:17">
      <c r="A48" s="4">
        <v>70065</v>
      </c>
      <c r="B48" s="1" t="s">
        <v>44</v>
      </c>
      <c r="C48" s="31">
        <v>160.94999999999999</v>
      </c>
      <c r="D48" s="31">
        <v>62.4</v>
      </c>
      <c r="E48" s="31">
        <v>260.68</v>
      </c>
      <c r="F48" s="1">
        <v>223.62</v>
      </c>
      <c r="G48" s="1">
        <v>255.74</v>
      </c>
      <c r="H48" s="1">
        <v>15.71</v>
      </c>
      <c r="I48" s="1">
        <v>27.9</v>
      </c>
      <c r="J48" s="1">
        <v>40.32</v>
      </c>
      <c r="K48" s="1">
        <v>77.67</v>
      </c>
      <c r="L48" s="1">
        <v>206.83</v>
      </c>
      <c r="M48" s="1">
        <v>196.54</v>
      </c>
      <c r="N48" s="1">
        <v>64.760000000000005</v>
      </c>
      <c r="O48" s="8">
        <f t="shared" si="0"/>
        <v>1593.12</v>
      </c>
      <c r="P48" s="1">
        <f t="shared" si="1"/>
        <v>12</v>
      </c>
      <c r="Q48" s="5">
        <f t="shared" si="2"/>
        <v>132.76</v>
      </c>
    </row>
    <row r="49" spans="1:17">
      <c r="A49" s="4">
        <v>70067</v>
      </c>
      <c r="B49" s="1" t="s">
        <v>46</v>
      </c>
      <c r="C49" s="5">
        <v>3437.72</v>
      </c>
      <c r="D49" s="5">
        <v>2841.79</v>
      </c>
      <c r="E49" s="5">
        <v>2483.75</v>
      </c>
      <c r="F49" s="5">
        <v>3452.86</v>
      </c>
      <c r="G49" s="5">
        <v>1798.23</v>
      </c>
      <c r="H49" s="5">
        <v>1524.83</v>
      </c>
      <c r="I49" s="5">
        <v>1256.1099999999999</v>
      </c>
      <c r="J49" s="5">
        <v>1714</v>
      </c>
      <c r="K49" s="5">
        <v>2701.25</v>
      </c>
      <c r="L49" s="5">
        <v>3775.42</v>
      </c>
      <c r="M49" s="5">
        <v>2621.52</v>
      </c>
      <c r="N49" s="5">
        <v>2694.3</v>
      </c>
      <c r="O49" s="8">
        <f t="shared" si="0"/>
        <v>30301.78</v>
      </c>
      <c r="P49" s="1">
        <f t="shared" si="1"/>
        <v>12</v>
      </c>
      <c r="Q49" s="5">
        <f t="shared" si="2"/>
        <v>2525.1483333333331</v>
      </c>
    </row>
    <row r="50" spans="1:17">
      <c r="A50" s="4">
        <v>70068</v>
      </c>
      <c r="B50" s="1" t="s">
        <v>47</v>
      </c>
      <c r="C50" s="5">
        <v>411.9</v>
      </c>
      <c r="D50" s="5">
        <v>441.9</v>
      </c>
      <c r="E50" s="5">
        <v>520.91999999999996</v>
      </c>
      <c r="F50" s="5">
        <v>398.82</v>
      </c>
      <c r="G50" s="5">
        <v>0</v>
      </c>
      <c r="H50" s="5">
        <v>108.96</v>
      </c>
      <c r="I50" s="5">
        <v>47.1</v>
      </c>
      <c r="J50" s="5">
        <v>63.24</v>
      </c>
      <c r="K50" s="5">
        <v>146.1</v>
      </c>
      <c r="L50" s="5">
        <v>495.12</v>
      </c>
      <c r="M50" s="31">
        <v>273.3</v>
      </c>
      <c r="N50" s="1">
        <v>389.34</v>
      </c>
      <c r="O50" s="8">
        <f t="shared" si="0"/>
        <v>3296.7</v>
      </c>
      <c r="P50" s="1">
        <f t="shared" si="1"/>
        <v>12</v>
      </c>
      <c r="Q50" s="5">
        <f t="shared" si="2"/>
        <v>274.72499999999997</v>
      </c>
    </row>
    <row r="51" spans="1:17">
      <c r="A51" s="4" t="s">
        <v>72</v>
      </c>
      <c r="B51" s="1" t="s">
        <v>48</v>
      </c>
      <c r="C51" s="5">
        <v>7040</v>
      </c>
      <c r="D51" s="5">
        <v>6563</v>
      </c>
      <c r="E51" s="5">
        <v>5731</v>
      </c>
      <c r="F51" s="5">
        <v>7005</v>
      </c>
      <c r="G51" s="5">
        <v>4810</v>
      </c>
      <c r="H51" s="5">
        <v>3957</v>
      </c>
      <c r="I51" s="5">
        <v>3959</v>
      </c>
      <c r="J51" s="5">
        <v>4827</v>
      </c>
      <c r="K51" s="5">
        <v>5685</v>
      </c>
      <c r="L51" s="5">
        <v>6452</v>
      </c>
      <c r="M51" s="31">
        <v>5968</v>
      </c>
      <c r="N51" s="31">
        <v>6092</v>
      </c>
      <c r="O51" s="8">
        <f t="shared" si="0"/>
        <v>68089</v>
      </c>
      <c r="P51" s="1">
        <f t="shared" si="1"/>
        <v>12</v>
      </c>
      <c r="Q51" s="5">
        <f t="shared" si="2"/>
        <v>5674.083333333333</v>
      </c>
    </row>
    <row r="52" spans="1:17">
      <c r="A52" s="4" t="s">
        <v>65</v>
      </c>
      <c r="B52" s="1" t="s">
        <v>67</v>
      </c>
      <c r="C52" s="5">
        <v>17891.52</v>
      </c>
      <c r="D52" s="5">
        <v>18667.8</v>
      </c>
      <c r="E52" s="5">
        <v>19017.36</v>
      </c>
      <c r="F52" s="5">
        <v>20317.080000000002</v>
      </c>
      <c r="G52" s="5">
        <v>16028.7</v>
      </c>
      <c r="H52" s="5">
        <v>14195.4</v>
      </c>
      <c r="I52" s="5">
        <v>14151.24</v>
      </c>
      <c r="J52" s="5">
        <v>15136.68</v>
      </c>
      <c r="K52" s="5">
        <v>15778.62</v>
      </c>
      <c r="L52" s="5">
        <v>19318.439999999999</v>
      </c>
      <c r="M52" s="5">
        <v>18547.68</v>
      </c>
      <c r="N52" s="5">
        <v>16154.82</v>
      </c>
      <c r="O52" s="8">
        <f t="shared" si="0"/>
        <v>205205.34</v>
      </c>
      <c r="P52" s="1">
        <f t="shared" si="1"/>
        <v>12</v>
      </c>
      <c r="Q52" s="5">
        <f t="shared" si="2"/>
        <v>17100.445</v>
      </c>
    </row>
    <row r="53" spans="1:17">
      <c r="A53" s="4">
        <v>70071</v>
      </c>
      <c r="B53" s="1" t="s">
        <v>49</v>
      </c>
      <c r="C53" s="5">
        <v>363</v>
      </c>
      <c r="D53" s="5">
        <v>269.10000000000002</v>
      </c>
      <c r="E53" s="5">
        <v>485.1</v>
      </c>
      <c r="F53" s="5">
        <v>592.4</v>
      </c>
      <c r="G53" s="5">
        <v>218.58</v>
      </c>
      <c r="H53" s="5">
        <v>45.9</v>
      </c>
      <c r="I53" s="5">
        <v>70.5</v>
      </c>
      <c r="J53" s="5">
        <v>60.9</v>
      </c>
      <c r="K53" s="5">
        <v>137.1</v>
      </c>
      <c r="L53" s="5">
        <v>718.02</v>
      </c>
      <c r="M53" s="5">
        <v>529.38</v>
      </c>
      <c r="N53" s="5">
        <v>271.44</v>
      </c>
      <c r="O53" s="8">
        <f t="shared" si="0"/>
        <v>3761.42</v>
      </c>
      <c r="P53" s="1">
        <f t="shared" si="1"/>
        <v>12</v>
      </c>
      <c r="Q53" s="5">
        <f t="shared" si="2"/>
        <v>313.45166666666665</v>
      </c>
    </row>
    <row r="54" spans="1:17">
      <c r="A54" s="4">
        <v>70072</v>
      </c>
      <c r="B54" s="1" t="s">
        <v>50</v>
      </c>
      <c r="C54" s="5">
        <v>6794.04</v>
      </c>
      <c r="D54" s="5">
        <v>5982.61</v>
      </c>
      <c r="E54" s="5">
        <v>7035.7</v>
      </c>
      <c r="F54" s="5">
        <v>6155.78</v>
      </c>
      <c r="G54" s="5">
        <v>4451.13</v>
      </c>
      <c r="H54" s="5">
        <v>2872.91</v>
      </c>
      <c r="I54" s="5">
        <v>3433.76</v>
      </c>
      <c r="J54" s="5">
        <v>3740.6</v>
      </c>
      <c r="K54" s="5">
        <v>5616.96</v>
      </c>
      <c r="L54" s="5">
        <v>7300.5</v>
      </c>
      <c r="M54" s="5">
        <v>5802.57</v>
      </c>
      <c r="N54" s="5">
        <v>6520.82</v>
      </c>
      <c r="O54" s="8">
        <f t="shared" si="0"/>
        <v>65707.38</v>
      </c>
      <c r="P54" s="1">
        <f t="shared" si="1"/>
        <v>12</v>
      </c>
      <c r="Q54" s="5">
        <f t="shared" si="2"/>
        <v>5475.6150000000007</v>
      </c>
    </row>
    <row r="55" spans="1:17">
      <c r="A55" s="4">
        <v>70075</v>
      </c>
      <c r="B55" s="1" t="s">
        <v>53</v>
      </c>
      <c r="C55" s="5">
        <v>6573.47</v>
      </c>
      <c r="D55" s="5">
        <v>6581.92</v>
      </c>
      <c r="E55" s="5">
        <v>6231.11</v>
      </c>
      <c r="F55" s="5">
        <v>6496.49</v>
      </c>
      <c r="G55" s="5">
        <v>4959.4799999999996</v>
      </c>
      <c r="H55" s="5">
        <v>3661.17</v>
      </c>
      <c r="I55" s="5">
        <v>4255.75</v>
      </c>
      <c r="J55" s="5">
        <v>5201.3599999999997</v>
      </c>
      <c r="K55" s="5">
        <v>5574.28</v>
      </c>
      <c r="L55" s="5">
        <v>6678.83</v>
      </c>
      <c r="M55" s="5">
        <v>6108.25</v>
      </c>
      <c r="N55" s="5">
        <v>6383.66</v>
      </c>
      <c r="O55" s="8">
        <f t="shared" si="0"/>
        <v>68705.77</v>
      </c>
      <c r="P55" s="1">
        <f t="shared" si="1"/>
        <v>12</v>
      </c>
      <c r="Q55" s="5">
        <f t="shared" si="2"/>
        <v>5725.480833333334</v>
      </c>
    </row>
    <row r="56" spans="1:17">
      <c r="A56" s="4">
        <v>70076</v>
      </c>
      <c r="B56" s="1" t="s">
        <v>54</v>
      </c>
      <c r="C56" s="5">
        <v>8826.26</v>
      </c>
      <c r="D56" s="5">
        <v>7846.3</v>
      </c>
      <c r="E56" s="5">
        <v>8016.51</v>
      </c>
      <c r="F56" s="5">
        <v>9693.3799999999992</v>
      </c>
      <c r="G56" s="5">
        <v>7228.88</v>
      </c>
      <c r="H56" s="5">
        <v>4826.9399999999996</v>
      </c>
      <c r="I56" s="5">
        <v>5372.79</v>
      </c>
      <c r="J56" s="5">
        <v>5971.69</v>
      </c>
      <c r="K56" s="5">
        <v>7086.12</v>
      </c>
      <c r="L56" s="5">
        <v>9039.4599999999991</v>
      </c>
      <c r="M56" s="5">
        <v>8429.01</v>
      </c>
      <c r="N56" s="5">
        <v>8480.59</v>
      </c>
      <c r="O56" s="8">
        <f t="shared" si="0"/>
        <v>90817.93</v>
      </c>
      <c r="P56" s="1">
        <f t="shared" si="1"/>
        <v>12</v>
      </c>
      <c r="Q56" s="5">
        <f t="shared" si="2"/>
        <v>7568.1608333333324</v>
      </c>
    </row>
    <row r="57" spans="1:17">
      <c r="A57" s="4">
        <v>70077</v>
      </c>
      <c r="B57" s="1" t="s">
        <v>3</v>
      </c>
      <c r="C57" s="5">
        <v>6146.78</v>
      </c>
      <c r="D57" s="5">
        <v>4943.3599999999997</v>
      </c>
      <c r="E57" s="5">
        <v>5638.83</v>
      </c>
      <c r="F57" s="5">
        <v>6584.69</v>
      </c>
      <c r="G57" s="5">
        <v>4822.62</v>
      </c>
      <c r="H57" s="5">
        <v>3009.4</v>
      </c>
      <c r="I57" s="5">
        <v>4232.88</v>
      </c>
      <c r="J57" s="5">
        <v>4188.57</v>
      </c>
      <c r="K57" s="5">
        <v>5067.28</v>
      </c>
      <c r="L57" s="5">
        <v>6535.58</v>
      </c>
      <c r="M57" s="5">
        <v>5655.53</v>
      </c>
      <c r="N57" s="5">
        <v>5993.55</v>
      </c>
      <c r="O57" s="8">
        <f t="shared" si="0"/>
        <v>62819.07</v>
      </c>
      <c r="P57" s="1">
        <f t="shared" si="1"/>
        <v>12</v>
      </c>
      <c r="Q57" s="5">
        <f t="shared" si="2"/>
        <v>5234.9224999999997</v>
      </c>
    </row>
    <row r="58" spans="1:17">
      <c r="A58" s="4">
        <v>70078</v>
      </c>
      <c r="B58" s="1" t="s">
        <v>55</v>
      </c>
      <c r="C58" s="5">
        <v>10606.43</v>
      </c>
      <c r="D58" s="5">
        <v>11307.69</v>
      </c>
      <c r="E58" s="5">
        <v>13347.18</v>
      </c>
      <c r="F58" s="5">
        <v>12134.54</v>
      </c>
      <c r="G58" s="5">
        <v>9839.81</v>
      </c>
      <c r="H58" s="5">
        <v>10482.049999999999</v>
      </c>
      <c r="I58" s="5">
        <v>9438.66</v>
      </c>
      <c r="J58" s="5">
        <v>8483.93</v>
      </c>
      <c r="K58" s="5">
        <v>11581.63</v>
      </c>
      <c r="L58" s="5">
        <v>12683.63</v>
      </c>
      <c r="M58" s="5">
        <v>11749.38</v>
      </c>
      <c r="N58" s="5">
        <v>13622.95</v>
      </c>
      <c r="O58" s="8">
        <f t="shared" si="0"/>
        <v>135277.88000000003</v>
      </c>
      <c r="P58" s="1">
        <f t="shared" si="1"/>
        <v>12</v>
      </c>
      <c r="Q58" s="5">
        <f t="shared" si="2"/>
        <v>11273.156666666669</v>
      </c>
    </row>
    <row r="59" spans="1:17">
      <c r="A59" s="4">
        <v>70079</v>
      </c>
      <c r="B59" s="1" t="s">
        <v>56</v>
      </c>
      <c r="C59" s="5">
        <v>4229.01</v>
      </c>
      <c r="D59" s="5">
        <v>4732.6099999999997</v>
      </c>
      <c r="E59" s="5">
        <v>4385.57</v>
      </c>
      <c r="F59" s="5">
        <v>5234.1499999999996</v>
      </c>
      <c r="G59" s="5">
        <v>2645.24</v>
      </c>
      <c r="H59" s="5">
        <v>3082.21</v>
      </c>
      <c r="I59" s="5">
        <v>8661.48</v>
      </c>
      <c r="J59" s="5">
        <v>9939.1</v>
      </c>
      <c r="K59" s="5">
        <v>11343.2</v>
      </c>
      <c r="L59" s="5">
        <v>12693.49</v>
      </c>
      <c r="M59" s="31">
        <v>12106.49</v>
      </c>
      <c r="N59" s="5">
        <v>11490.52</v>
      </c>
      <c r="O59" s="8">
        <f t="shared" si="0"/>
        <v>90543.07</v>
      </c>
      <c r="P59" s="1">
        <f t="shared" si="1"/>
        <v>12</v>
      </c>
      <c r="Q59" s="5">
        <f t="shared" si="2"/>
        <v>7545.2558333333336</v>
      </c>
    </row>
    <row r="60" spans="1:17">
      <c r="A60" s="4">
        <v>70080</v>
      </c>
      <c r="B60" s="1" t="s">
        <v>57</v>
      </c>
      <c r="C60" s="5">
        <v>3461.89</v>
      </c>
      <c r="D60" s="5">
        <v>2465.9499999999998</v>
      </c>
      <c r="E60" s="5">
        <v>1849.17</v>
      </c>
      <c r="F60" s="5">
        <v>3035.21</v>
      </c>
      <c r="G60" s="5">
        <v>2462.2399999999998</v>
      </c>
      <c r="H60" s="5">
        <v>2788.33</v>
      </c>
      <c r="I60" s="5">
        <v>1925.05</v>
      </c>
      <c r="J60" s="5">
        <v>1790.16</v>
      </c>
      <c r="K60" s="5">
        <v>2933.13</v>
      </c>
      <c r="L60" s="5">
        <v>3213.4</v>
      </c>
      <c r="M60" s="5">
        <v>2191.62</v>
      </c>
      <c r="N60" s="5">
        <v>2079.9</v>
      </c>
      <c r="O60" s="8">
        <f t="shared" si="0"/>
        <v>30196.050000000003</v>
      </c>
      <c r="P60" s="1">
        <f t="shared" si="1"/>
        <v>12</v>
      </c>
      <c r="Q60" s="5">
        <f t="shared" si="2"/>
        <v>2516.3375000000001</v>
      </c>
    </row>
    <row r="61" spans="1:17">
      <c r="A61" s="4">
        <v>70081</v>
      </c>
      <c r="B61" s="1" t="s">
        <v>58</v>
      </c>
      <c r="C61" s="5">
        <v>35245.53</v>
      </c>
      <c r="D61" s="5">
        <v>29704.07</v>
      </c>
      <c r="E61" s="5">
        <v>49844.35</v>
      </c>
      <c r="F61" s="5">
        <v>38328.69</v>
      </c>
      <c r="G61" s="5">
        <v>29960.09</v>
      </c>
      <c r="H61" s="5">
        <v>20559.849999999999</v>
      </c>
      <c r="I61" s="5">
        <v>18622.52</v>
      </c>
      <c r="J61" s="5">
        <v>30592.94</v>
      </c>
      <c r="K61" s="5">
        <v>36423.21</v>
      </c>
      <c r="L61" s="5">
        <v>45071.38</v>
      </c>
      <c r="M61" s="5">
        <v>36426.14</v>
      </c>
      <c r="N61" s="5">
        <v>39699.43</v>
      </c>
      <c r="O61" s="8">
        <f t="shared" si="0"/>
        <v>410478.2</v>
      </c>
      <c r="P61" s="1">
        <f t="shared" si="1"/>
        <v>12</v>
      </c>
      <c r="Q61" s="5">
        <f t="shared" si="2"/>
        <v>34206.51666666667</v>
      </c>
    </row>
    <row r="62" spans="1:17">
      <c r="A62" s="4">
        <v>70082</v>
      </c>
      <c r="B62" s="1" t="s">
        <v>59</v>
      </c>
      <c r="C62" s="5">
        <v>3252.97</v>
      </c>
      <c r="D62" s="5">
        <v>2871.32</v>
      </c>
      <c r="E62" s="5">
        <v>1909.46</v>
      </c>
      <c r="F62" s="5">
        <v>2898.72</v>
      </c>
      <c r="G62" s="5">
        <v>2263.75</v>
      </c>
      <c r="H62" s="5">
        <v>1949.4</v>
      </c>
      <c r="I62" s="5">
        <v>1761.52</v>
      </c>
      <c r="J62" s="5">
        <v>2081.56</v>
      </c>
      <c r="K62" s="5">
        <v>2871.38</v>
      </c>
      <c r="L62" s="5">
        <v>3547.14</v>
      </c>
      <c r="M62" s="5">
        <v>3278.8</v>
      </c>
      <c r="N62" s="5">
        <v>2968.07</v>
      </c>
      <c r="O62" s="8">
        <f t="shared" si="0"/>
        <v>31654.09</v>
      </c>
      <c r="P62" s="1">
        <f t="shared" si="1"/>
        <v>12</v>
      </c>
      <c r="Q62" s="5">
        <f t="shared" si="2"/>
        <v>2637.8408333333332</v>
      </c>
    </row>
    <row r="63" spans="1:17">
      <c r="A63" s="4">
        <v>70084</v>
      </c>
      <c r="B63" s="1" t="s">
        <v>64</v>
      </c>
      <c r="C63" s="31">
        <v>3597.38</v>
      </c>
      <c r="D63" s="5">
        <v>2873.98</v>
      </c>
      <c r="E63" s="5">
        <v>2190.11</v>
      </c>
      <c r="F63" s="5">
        <v>3596.62</v>
      </c>
      <c r="G63" s="31">
        <v>3196.43</v>
      </c>
      <c r="H63" s="5">
        <v>1588.85</v>
      </c>
      <c r="I63" s="5">
        <v>1720.85</v>
      </c>
      <c r="J63" s="5">
        <v>2322.13</v>
      </c>
      <c r="K63" s="5">
        <v>2631.28</v>
      </c>
      <c r="L63" s="5">
        <v>3924.59</v>
      </c>
      <c r="M63" s="31">
        <v>3692.84</v>
      </c>
      <c r="N63" s="5">
        <v>3315.37</v>
      </c>
      <c r="O63" s="8">
        <f t="shared" si="0"/>
        <v>34650.43</v>
      </c>
      <c r="P63" s="1">
        <f t="shared" si="1"/>
        <v>12</v>
      </c>
      <c r="Q63" s="5">
        <f t="shared" si="2"/>
        <v>2887.5358333333334</v>
      </c>
    </row>
    <row r="64" spans="1:17">
      <c r="A64" s="4">
        <v>70085</v>
      </c>
      <c r="B64" s="1" t="s">
        <v>76</v>
      </c>
      <c r="C64" s="5">
        <v>438.33</v>
      </c>
      <c r="D64" s="5">
        <v>147.05000000000001</v>
      </c>
      <c r="E64" s="1">
        <v>0</v>
      </c>
      <c r="F64" s="5"/>
      <c r="G64" s="5"/>
      <c r="H64" s="5"/>
      <c r="I64" s="5"/>
      <c r="J64" s="5"/>
      <c r="K64" s="5"/>
      <c r="L64" s="5"/>
      <c r="M64" s="5"/>
      <c r="N64" s="5"/>
      <c r="O64" s="8">
        <f t="shared" si="0"/>
        <v>585.38</v>
      </c>
      <c r="P64" s="1">
        <f t="shared" si="1"/>
        <v>3</v>
      </c>
      <c r="Q64" s="5">
        <f t="shared" si="2"/>
        <v>195.12666666666667</v>
      </c>
    </row>
    <row r="65" spans="1:17">
      <c r="A65" s="4">
        <v>70086</v>
      </c>
      <c r="B65" s="1" t="s">
        <v>85</v>
      </c>
      <c r="C65" s="5">
        <v>45.9</v>
      </c>
      <c r="D65" s="5">
        <v>255.54</v>
      </c>
      <c r="E65" s="5">
        <v>191.52</v>
      </c>
      <c r="F65" s="5">
        <v>353.28</v>
      </c>
      <c r="G65" s="5">
        <v>148.80000000000001</v>
      </c>
      <c r="H65" s="5">
        <v>228.66</v>
      </c>
      <c r="I65" s="5">
        <v>91.5</v>
      </c>
      <c r="J65" s="5">
        <v>78.239999999999995</v>
      </c>
      <c r="K65" s="5">
        <v>172.14</v>
      </c>
      <c r="L65" s="5">
        <v>667.68</v>
      </c>
      <c r="M65" s="5">
        <v>193.8</v>
      </c>
      <c r="N65" s="5">
        <v>111.18</v>
      </c>
      <c r="O65" s="8">
        <f t="shared" si="0"/>
        <v>2538.2399999999998</v>
      </c>
      <c r="P65" s="1">
        <f t="shared" si="1"/>
        <v>12</v>
      </c>
      <c r="Q65" s="5">
        <f t="shared" si="2"/>
        <v>211.51999999999998</v>
      </c>
    </row>
    <row r="66" spans="1:17">
      <c r="A66" s="4">
        <v>70087</v>
      </c>
      <c r="B66" s="1" t="s">
        <v>87</v>
      </c>
      <c r="C66" s="5"/>
      <c r="D66" s="5"/>
      <c r="E66" s="5"/>
      <c r="O66" s="8">
        <f t="shared" si="0"/>
        <v>0</v>
      </c>
      <c r="P66" s="1">
        <f t="shared" si="1"/>
        <v>0</v>
      </c>
      <c r="Q66" s="5"/>
    </row>
    <row r="67" spans="1:17">
      <c r="A67" s="4">
        <v>70088</v>
      </c>
      <c r="B67" s="1" t="s">
        <v>88</v>
      </c>
      <c r="C67" s="5">
        <v>463.35</v>
      </c>
      <c r="D67" s="5">
        <v>386.21</v>
      </c>
      <c r="E67" s="5">
        <v>424.4</v>
      </c>
      <c r="F67" s="5">
        <v>731.29</v>
      </c>
      <c r="G67" s="5">
        <v>260.02999999999997</v>
      </c>
      <c r="H67" s="5">
        <v>245.44</v>
      </c>
      <c r="I67" s="5">
        <v>79.33</v>
      </c>
      <c r="J67" s="5">
        <v>193.24</v>
      </c>
      <c r="K67" s="5">
        <v>218.7</v>
      </c>
      <c r="L67" s="5">
        <v>816.18</v>
      </c>
      <c r="M67" s="5">
        <v>594.38</v>
      </c>
      <c r="N67" s="31">
        <v>329.5</v>
      </c>
      <c r="O67" s="8">
        <f t="shared" ref="O67:O73" si="3">+SUM(C67:N67)</f>
        <v>4742.0499999999993</v>
      </c>
      <c r="P67" s="1">
        <f t="shared" ref="P67:P73" si="4">+COUNT(C67:N67)</f>
        <v>12</v>
      </c>
      <c r="Q67" s="5">
        <f t="shared" ref="Q67:Q73" si="5">+O67/P67</f>
        <v>395.17083333333329</v>
      </c>
    </row>
    <row r="68" spans="1:17">
      <c r="A68" s="4">
        <v>70089</v>
      </c>
      <c r="B68" s="1" t="s">
        <v>89</v>
      </c>
      <c r="C68" s="5">
        <v>5847.39</v>
      </c>
      <c r="D68" s="5">
        <v>4790.03</v>
      </c>
      <c r="E68" s="5">
        <v>6313.15</v>
      </c>
      <c r="F68" s="5">
        <v>6043.5559999999996</v>
      </c>
      <c r="G68" s="5">
        <v>4169.63</v>
      </c>
      <c r="H68" s="5">
        <v>1979.45</v>
      </c>
      <c r="I68" s="5">
        <v>2828.36</v>
      </c>
      <c r="J68" s="5">
        <v>2293.4499999999998</v>
      </c>
      <c r="K68" s="5">
        <v>3660.75</v>
      </c>
      <c r="L68" s="5">
        <v>4825.2299999999996</v>
      </c>
      <c r="M68" s="5">
        <v>4781.6499999999996</v>
      </c>
      <c r="N68" s="5">
        <v>5203.82</v>
      </c>
      <c r="O68" s="8">
        <f t="shared" si="3"/>
        <v>52736.466</v>
      </c>
      <c r="P68" s="1">
        <f t="shared" si="4"/>
        <v>12</v>
      </c>
      <c r="Q68" s="5">
        <f t="shared" si="5"/>
        <v>4394.7055</v>
      </c>
    </row>
    <row r="69" spans="1:17">
      <c r="A69" s="4">
        <v>70090</v>
      </c>
      <c r="B69" s="1" t="s">
        <v>90</v>
      </c>
      <c r="C69" s="5">
        <v>10857.38</v>
      </c>
      <c r="D69" s="5">
        <v>10671.58</v>
      </c>
      <c r="E69" s="5">
        <v>12826.29</v>
      </c>
      <c r="F69" s="5">
        <v>11020.81</v>
      </c>
      <c r="G69" s="5">
        <v>9026.5499999999993</v>
      </c>
      <c r="H69" s="5">
        <v>9156.81</v>
      </c>
      <c r="I69" s="5">
        <v>7792.53</v>
      </c>
      <c r="J69" s="5">
        <v>8922.2099999999991</v>
      </c>
      <c r="K69" s="5">
        <v>12794.65</v>
      </c>
      <c r="L69" s="5">
        <v>11878.12</v>
      </c>
      <c r="M69" s="5">
        <v>11019.87</v>
      </c>
      <c r="N69" s="5">
        <v>13613.58</v>
      </c>
      <c r="O69" s="8">
        <f t="shared" si="3"/>
        <v>129580.37999999999</v>
      </c>
      <c r="P69" s="1">
        <f t="shared" si="4"/>
        <v>12</v>
      </c>
      <c r="Q69" s="5">
        <f t="shared" si="5"/>
        <v>10798.365</v>
      </c>
    </row>
    <row r="70" spans="1:17">
      <c r="A70" s="4">
        <v>70091</v>
      </c>
      <c r="B70" s="1" t="s">
        <v>91</v>
      </c>
      <c r="C70" s="5"/>
      <c r="D70" s="5"/>
      <c r="E70" s="5"/>
      <c r="G70" s="5"/>
      <c r="H70" s="5">
        <v>1112.3399999999999</v>
      </c>
      <c r="I70" s="5">
        <v>4873.4399999999996</v>
      </c>
      <c r="J70" s="5">
        <v>6409.15</v>
      </c>
      <c r="K70" s="5">
        <v>9390.06</v>
      </c>
      <c r="L70" s="5">
        <v>10521.2</v>
      </c>
      <c r="M70" s="5">
        <v>11363.74</v>
      </c>
      <c r="N70" s="5">
        <v>10434.129999999999</v>
      </c>
      <c r="O70" s="8">
        <f t="shared" si="3"/>
        <v>54104.06</v>
      </c>
      <c r="P70" s="1">
        <f t="shared" si="4"/>
        <v>7</v>
      </c>
      <c r="Q70" s="5">
        <f t="shared" si="5"/>
        <v>7729.1514285714284</v>
      </c>
    </row>
    <row r="71" spans="1:17">
      <c r="A71" s="4">
        <v>70092</v>
      </c>
      <c r="B71" s="1" t="s">
        <v>93</v>
      </c>
      <c r="C71" s="5"/>
      <c r="D71" s="5"/>
      <c r="E71" s="5"/>
      <c r="F71" s="5"/>
      <c r="G71" s="5">
        <v>4690.62</v>
      </c>
      <c r="H71" s="5">
        <v>6124.16</v>
      </c>
      <c r="I71" s="5">
        <v>4662.29</v>
      </c>
      <c r="J71" s="5">
        <v>7489.25</v>
      </c>
      <c r="K71" s="5">
        <v>6520.63</v>
      </c>
      <c r="L71" s="5">
        <v>9771.51</v>
      </c>
      <c r="M71" s="5">
        <v>8766.86</v>
      </c>
      <c r="N71" s="5">
        <v>8634.6200000000008</v>
      </c>
      <c r="O71" s="8">
        <f t="shared" si="3"/>
        <v>56659.94</v>
      </c>
      <c r="P71" s="1">
        <f t="shared" si="4"/>
        <v>8</v>
      </c>
      <c r="Q71" s="5">
        <f t="shared" si="5"/>
        <v>7082.4925000000003</v>
      </c>
    </row>
    <row r="72" spans="1:17">
      <c r="A72" s="4">
        <v>70093</v>
      </c>
      <c r="B72" s="1" t="s">
        <v>94</v>
      </c>
      <c r="C72" s="5"/>
      <c r="D72" s="5"/>
      <c r="E72" s="5"/>
      <c r="F72" s="5"/>
      <c r="G72" s="5"/>
      <c r="I72" s="5">
        <v>1521.14</v>
      </c>
      <c r="J72" s="5">
        <v>1956.97</v>
      </c>
      <c r="K72" s="1">
        <v>2172.3200000000002</v>
      </c>
      <c r="L72" s="5">
        <v>3283.52</v>
      </c>
      <c r="M72" s="5">
        <v>3166</v>
      </c>
      <c r="N72" s="5">
        <v>3734.37</v>
      </c>
      <c r="O72" s="8">
        <f t="shared" si="3"/>
        <v>15834.32</v>
      </c>
      <c r="P72" s="1">
        <f t="shared" si="4"/>
        <v>6</v>
      </c>
      <c r="Q72" s="5">
        <f t="shared" si="5"/>
        <v>2639.0533333333333</v>
      </c>
    </row>
    <row r="73" spans="1:17">
      <c r="A73" s="21">
        <v>70094</v>
      </c>
      <c r="B73" s="22" t="s">
        <v>95</v>
      </c>
      <c r="C73" s="25"/>
      <c r="D73" s="25"/>
      <c r="E73" s="25"/>
      <c r="F73" s="25">
        <v>246.06</v>
      </c>
      <c r="G73" s="25">
        <v>275.69</v>
      </c>
      <c r="H73" s="25">
        <v>535.38</v>
      </c>
      <c r="I73" s="25">
        <v>503.76</v>
      </c>
      <c r="J73" s="25">
        <v>555.96</v>
      </c>
      <c r="K73" s="25">
        <v>1218.24</v>
      </c>
      <c r="L73" s="25">
        <v>432.96</v>
      </c>
      <c r="M73" s="25">
        <v>514.08000000000004</v>
      </c>
      <c r="N73" s="25">
        <v>464.64</v>
      </c>
      <c r="O73" s="33">
        <f t="shared" si="3"/>
        <v>4746.7700000000004</v>
      </c>
      <c r="P73" s="22">
        <f t="shared" si="4"/>
        <v>9</v>
      </c>
      <c r="Q73" s="25">
        <f t="shared" si="5"/>
        <v>527.41888888888889</v>
      </c>
    </row>
    <row r="74" spans="1:17">
      <c r="A74" s="4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8"/>
      <c r="Q74" s="28"/>
    </row>
    <row r="75" spans="1:17">
      <c r="B75" s="1" t="s">
        <v>140</v>
      </c>
      <c r="C75" s="5">
        <f>SUM(C2:C73)</f>
        <v>554675.17000000004</v>
      </c>
      <c r="D75" s="5">
        <f t="shared" ref="D75:O75" si="6">SUM(D2:D73)</f>
        <v>516161.55</v>
      </c>
      <c r="E75" s="5">
        <f t="shared" si="6"/>
        <v>564137.3400000002</v>
      </c>
      <c r="F75" s="5">
        <f t="shared" si="6"/>
        <v>604838.72600000026</v>
      </c>
      <c r="G75" s="5">
        <f t="shared" si="6"/>
        <v>469706.21999999991</v>
      </c>
      <c r="H75" s="5">
        <f t="shared" si="6"/>
        <v>379048.66000000003</v>
      </c>
      <c r="I75" s="5">
        <f t="shared" si="6"/>
        <v>344324.42999999993</v>
      </c>
      <c r="J75" s="5">
        <f t="shared" si="6"/>
        <v>406338.66</v>
      </c>
      <c r="K75" s="5">
        <f t="shared" si="6"/>
        <v>497410.49000000017</v>
      </c>
      <c r="L75" s="5">
        <f t="shared" si="6"/>
        <v>652650.88</v>
      </c>
      <c r="M75" s="5">
        <f t="shared" si="6"/>
        <v>617226.14000000013</v>
      </c>
      <c r="N75" s="5">
        <f t="shared" si="6"/>
        <v>563447.08000000007</v>
      </c>
      <c r="O75" s="5">
        <f t="shared" si="6"/>
        <v>6169965.3459999999</v>
      </c>
      <c r="Q75" s="5">
        <f>+O75/12</f>
        <v>514163.77883333334</v>
      </c>
    </row>
    <row r="76" spans="1:17">
      <c r="C76" s="5"/>
      <c r="D76" s="5"/>
      <c r="E76" s="5"/>
    </row>
    <row r="77" spans="1:17">
      <c r="C77" s="5"/>
      <c r="E77" s="5"/>
    </row>
    <row r="78" spans="1:17">
      <c r="C78" s="5"/>
    </row>
    <row r="79" spans="1:17">
      <c r="C79" s="5"/>
    </row>
    <row r="80" spans="1:17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  <row r="85" spans="3:3">
      <c r="C85" s="5"/>
    </row>
    <row r="86" spans="3:3">
      <c r="C86" s="5"/>
    </row>
    <row r="87" spans="3:3">
      <c r="C87" s="5"/>
    </row>
    <row r="88" spans="3:3">
      <c r="C88" s="5"/>
    </row>
    <row r="89" spans="3:3">
      <c r="C89" s="5"/>
    </row>
    <row r="90" spans="3:3">
      <c r="C90" s="5"/>
    </row>
    <row r="91" spans="3:3">
      <c r="C91" s="5"/>
    </row>
    <row r="92" spans="3:3">
      <c r="C92" s="5"/>
    </row>
    <row r="93" spans="3:3">
      <c r="C93" s="5"/>
    </row>
    <row r="94" spans="3:3">
      <c r="C94" s="5"/>
    </row>
    <row r="95" spans="3:3">
      <c r="C95" s="5"/>
    </row>
    <row r="96" spans="3:3">
      <c r="C96" s="5"/>
    </row>
    <row r="97" spans="3:3">
      <c r="C97" s="5"/>
    </row>
    <row r="98" spans="3:3">
      <c r="C98" s="5"/>
    </row>
    <row r="99" spans="3:3">
      <c r="C99" s="5"/>
    </row>
    <row r="100" spans="3:3">
      <c r="C100" s="5"/>
    </row>
    <row r="101" spans="3:3">
      <c r="C101" s="5"/>
    </row>
    <row r="102" spans="3:3">
      <c r="C102" s="5"/>
    </row>
    <row r="103" spans="3:3">
      <c r="C103" s="5"/>
    </row>
    <row r="104" spans="3:3">
      <c r="C104" s="5"/>
    </row>
    <row r="105" spans="3:3">
      <c r="C105" s="5"/>
    </row>
    <row r="106" spans="3:3">
      <c r="C106" s="5"/>
    </row>
    <row r="107" spans="3:3">
      <c r="C107" s="5"/>
    </row>
    <row r="108" spans="3:3">
      <c r="C108" s="5"/>
    </row>
    <row r="109" spans="3:3">
      <c r="C109" s="5"/>
    </row>
    <row r="110" spans="3:3">
      <c r="C110" s="5"/>
    </row>
    <row r="111" spans="3:3">
      <c r="C111" s="5"/>
    </row>
    <row r="112" spans="3:3">
      <c r="C112" s="5"/>
    </row>
    <row r="113" spans="3:3">
      <c r="C113" s="5"/>
    </row>
    <row r="114" spans="3:3">
      <c r="C114" s="5"/>
    </row>
    <row r="115" spans="3:3">
      <c r="C115" s="5"/>
    </row>
    <row r="116" spans="3:3">
      <c r="C116" s="5"/>
    </row>
    <row r="117" spans="3:3">
      <c r="C117" s="5"/>
    </row>
    <row r="118" spans="3:3">
      <c r="C118" s="5"/>
    </row>
    <row r="119" spans="3:3">
      <c r="C119" s="5"/>
    </row>
    <row r="120" spans="3:3">
      <c r="C120" s="5"/>
    </row>
    <row r="121" spans="3:3">
      <c r="C121" s="5"/>
    </row>
    <row r="122" spans="3:3">
      <c r="C122" s="5"/>
    </row>
    <row r="123" spans="3:3">
      <c r="C123" s="5"/>
    </row>
    <row r="124" spans="3:3">
      <c r="C124" s="5"/>
    </row>
    <row r="125" spans="3:3">
      <c r="C125" s="5"/>
    </row>
    <row r="126" spans="3:3">
      <c r="C126" s="5"/>
    </row>
    <row r="127" spans="3:3">
      <c r="C127" s="5"/>
    </row>
    <row r="128" spans="3:3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  <row r="140" spans="3:3">
      <c r="C140" s="5"/>
    </row>
    <row r="141" spans="3:3">
      <c r="C141" s="5"/>
    </row>
    <row r="142" spans="3:3">
      <c r="C142" s="5"/>
    </row>
    <row r="143" spans="3:3">
      <c r="C143" s="5"/>
    </row>
    <row r="144" spans="3:3">
      <c r="C144" s="5"/>
    </row>
    <row r="145" spans="3:3">
      <c r="C145" s="5"/>
    </row>
    <row r="146" spans="3:3">
      <c r="C146" s="5"/>
    </row>
    <row r="147" spans="3:3">
      <c r="C147" s="5"/>
    </row>
    <row r="148" spans="3:3">
      <c r="C148" s="5"/>
    </row>
    <row r="149" spans="3:3">
      <c r="C149" s="5"/>
    </row>
    <row r="150" spans="3:3">
      <c r="C150" s="5"/>
    </row>
    <row r="151" spans="3:3">
      <c r="C151" s="5"/>
    </row>
    <row r="152" spans="3:3">
      <c r="C152" s="5"/>
    </row>
    <row r="153" spans="3:3">
      <c r="C153" s="5"/>
    </row>
    <row r="154" spans="3:3">
      <c r="C154" s="5"/>
    </row>
    <row r="155" spans="3:3">
      <c r="C155" s="5"/>
    </row>
    <row r="156" spans="3:3">
      <c r="C156" s="5"/>
    </row>
    <row r="157" spans="3:3">
      <c r="C157" s="5"/>
    </row>
    <row r="158" spans="3:3">
      <c r="C158" s="5"/>
    </row>
    <row r="159" spans="3:3">
      <c r="C159" s="5"/>
    </row>
    <row r="160" spans="3:3">
      <c r="C160" s="5"/>
    </row>
    <row r="161" spans="3:3">
      <c r="C161" s="5"/>
    </row>
    <row r="162" spans="3:3">
      <c r="C162" s="5"/>
    </row>
    <row r="163" spans="3:3">
      <c r="C163" s="5"/>
    </row>
    <row r="164" spans="3:3">
      <c r="C164" s="5"/>
    </row>
    <row r="165" spans="3:3">
      <c r="C165" s="5"/>
    </row>
    <row r="166" spans="3:3">
      <c r="C166" s="5"/>
    </row>
    <row r="167" spans="3:3">
      <c r="C167" s="5"/>
    </row>
    <row r="168" spans="3:3">
      <c r="C168" s="5"/>
    </row>
    <row r="169" spans="3:3">
      <c r="C169" s="5"/>
    </row>
    <row r="170" spans="3:3">
      <c r="C170" s="5"/>
    </row>
    <row r="171" spans="3:3">
      <c r="C171" s="5"/>
    </row>
    <row r="172" spans="3:3">
      <c r="C172" s="5"/>
    </row>
    <row r="173" spans="3:3">
      <c r="C173" s="5"/>
    </row>
    <row r="174" spans="3:3">
      <c r="C174" s="5"/>
    </row>
    <row r="175" spans="3:3">
      <c r="C175" s="5"/>
    </row>
    <row r="176" spans="3:3">
      <c r="C176" s="5"/>
    </row>
    <row r="177" spans="3:3">
      <c r="C177" s="5"/>
    </row>
    <row r="178" spans="3:3">
      <c r="C178" s="5"/>
    </row>
    <row r="179" spans="3:3">
      <c r="C179" s="5"/>
    </row>
    <row r="180" spans="3:3">
      <c r="C180" s="5"/>
    </row>
    <row r="181" spans="3:3">
      <c r="C181" s="5"/>
    </row>
    <row r="182" spans="3:3">
      <c r="C182" s="5"/>
    </row>
    <row r="183" spans="3:3">
      <c r="C183" s="5"/>
    </row>
    <row r="184" spans="3:3">
      <c r="C184" s="5"/>
    </row>
    <row r="185" spans="3:3">
      <c r="C185" s="5"/>
    </row>
    <row r="186" spans="3:3">
      <c r="C186" s="5"/>
    </row>
    <row r="187" spans="3:3">
      <c r="C187" s="5"/>
    </row>
    <row r="188" spans="3:3">
      <c r="C188" s="5"/>
    </row>
    <row r="189" spans="3:3">
      <c r="C189" s="5"/>
    </row>
    <row r="190" spans="3:3">
      <c r="C190" s="5"/>
    </row>
    <row r="191" spans="3:3">
      <c r="C191" s="5"/>
    </row>
    <row r="192" spans="3:3">
      <c r="C192" s="5"/>
    </row>
    <row r="193" spans="3:3">
      <c r="C193" s="5"/>
    </row>
    <row r="194" spans="3:3">
      <c r="C194" s="5"/>
    </row>
    <row r="195" spans="3:3">
      <c r="C195" s="5"/>
    </row>
    <row r="196" spans="3:3">
      <c r="C196" s="5"/>
    </row>
    <row r="197" spans="3:3">
      <c r="C197" s="5"/>
    </row>
    <row r="198" spans="3:3">
      <c r="C198" s="5"/>
    </row>
    <row r="199" spans="3:3">
      <c r="C199" s="5"/>
    </row>
    <row r="200" spans="3:3">
      <c r="C200" s="5"/>
    </row>
    <row r="201" spans="3:3">
      <c r="C201" s="5"/>
    </row>
    <row r="202" spans="3:3">
      <c r="C202" s="5"/>
    </row>
    <row r="203" spans="3:3">
      <c r="C203" s="5"/>
    </row>
    <row r="204" spans="3:3">
      <c r="C204" s="5"/>
    </row>
    <row r="205" spans="3:3">
      <c r="C205" s="5"/>
    </row>
    <row r="206" spans="3:3">
      <c r="C206" s="5"/>
    </row>
    <row r="207" spans="3:3">
      <c r="C207" s="5"/>
    </row>
    <row r="208" spans="3:3">
      <c r="C208" s="5"/>
    </row>
    <row r="209" spans="3:3">
      <c r="C209" s="5"/>
    </row>
    <row r="210" spans="3:3">
      <c r="C210" s="5"/>
    </row>
    <row r="211" spans="3:3">
      <c r="C211" s="5"/>
    </row>
    <row r="212" spans="3:3">
      <c r="C212" s="5"/>
    </row>
    <row r="213" spans="3:3">
      <c r="C213" s="5"/>
    </row>
    <row r="214" spans="3:3">
      <c r="C214" s="5"/>
    </row>
    <row r="215" spans="3:3">
      <c r="C215" s="5"/>
    </row>
    <row r="216" spans="3:3">
      <c r="C216" s="5"/>
    </row>
    <row r="217" spans="3:3">
      <c r="C217" s="5"/>
    </row>
    <row r="218" spans="3:3">
      <c r="C218" s="5"/>
    </row>
    <row r="219" spans="3:3">
      <c r="C219" s="5"/>
    </row>
    <row r="220" spans="3:3">
      <c r="C220" s="5"/>
    </row>
    <row r="221" spans="3:3">
      <c r="C221" s="5"/>
    </row>
    <row r="222" spans="3:3">
      <c r="C222" s="5"/>
    </row>
    <row r="223" spans="3:3">
      <c r="C223" s="5"/>
    </row>
    <row r="224" spans="3:3">
      <c r="C224" s="5"/>
    </row>
    <row r="225" spans="3:3">
      <c r="C225" s="5"/>
    </row>
    <row r="226" spans="3:3">
      <c r="C226" s="5"/>
    </row>
    <row r="227" spans="3:3">
      <c r="C227" s="5"/>
    </row>
    <row r="228" spans="3:3">
      <c r="C228" s="5"/>
    </row>
    <row r="229" spans="3:3">
      <c r="C229" s="5"/>
    </row>
    <row r="230" spans="3:3">
      <c r="C230" s="5"/>
    </row>
    <row r="231" spans="3:3">
      <c r="C231" s="5"/>
    </row>
    <row r="232" spans="3:3">
      <c r="C232" s="5"/>
    </row>
    <row r="233" spans="3:3">
      <c r="C233" s="5"/>
    </row>
    <row r="234" spans="3:3">
      <c r="C234" s="5"/>
    </row>
    <row r="235" spans="3:3">
      <c r="C235" s="5"/>
    </row>
    <row r="236" spans="3:3">
      <c r="C236" s="5"/>
    </row>
    <row r="237" spans="3:3">
      <c r="C237" s="5"/>
    </row>
    <row r="238" spans="3:3">
      <c r="C238" s="5"/>
    </row>
    <row r="239" spans="3:3">
      <c r="C239" s="5"/>
    </row>
    <row r="240" spans="3:3">
      <c r="C240" s="5"/>
    </row>
    <row r="241" spans="3:3">
      <c r="C241" s="5"/>
    </row>
    <row r="242" spans="3:3">
      <c r="C242" s="5"/>
    </row>
    <row r="243" spans="3:3">
      <c r="C243" s="5"/>
    </row>
    <row r="244" spans="3:3">
      <c r="C244" s="5"/>
    </row>
    <row r="245" spans="3:3">
      <c r="C245" s="5"/>
    </row>
    <row r="246" spans="3:3">
      <c r="C246" s="5"/>
    </row>
    <row r="247" spans="3:3">
      <c r="C247" s="5"/>
    </row>
    <row r="248" spans="3:3">
      <c r="C248" s="5"/>
    </row>
    <row r="249" spans="3:3">
      <c r="C249" s="5"/>
    </row>
    <row r="250" spans="3:3">
      <c r="C250" s="5"/>
    </row>
    <row r="251" spans="3:3">
      <c r="C251" s="5"/>
    </row>
    <row r="252" spans="3:3">
      <c r="C252" s="5"/>
    </row>
    <row r="253" spans="3:3">
      <c r="C253" s="5"/>
    </row>
    <row r="254" spans="3:3">
      <c r="C254" s="5"/>
    </row>
    <row r="255" spans="3:3">
      <c r="C255" s="5"/>
    </row>
    <row r="256" spans="3:3">
      <c r="C256" s="5"/>
    </row>
    <row r="257" spans="3:3">
      <c r="C257" s="5"/>
    </row>
    <row r="258" spans="3:3">
      <c r="C258" s="5"/>
    </row>
    <row r="259" spans="3:3">
      <c r="C259" s="5"/>
    </row>
    <row r="260" spans="3:3">
      <c r="C260" s="5"/>
    </row>
    <row r="261" spans="3:3">
      <c r="C261" s="5"/>
    </row>
    <row r="262" spans="3:3">
      <c r="C262" s="5"/>
    </row>
    <row r="263" spans="3:3">
      <c r="C263" s="5"/>
    </row>
    <row r="264" spans="3:3">
      <c r="C264" s="5"/>
    </row>
    <row r="265" spans="3:3">
      <c r="C265" s="5"/>
    </row>
    <row r="266" spans="3:3">
      <c r="C266" s="5"/>
    </row>
    <row r="267" spans="3:3">
      <c r="C267" s="5"/>
    </row>
    <row r="268" spans="3:3">
      <c r="C268" s="5"/>
    </row>
    <row r="269" spans="3:3">
      <c r="C269" s="5"/>
    </row>
    <row r="270" spans="3:3">
      <c r="C270" s="5"/>
    </row>
    <row r="271" spans="3:3">
      <c r="C271" s="5"/>
    </row>
    <row r="272" spans="3:3">
      <c r="C272" s="5"/>
    </row>
    <row r="273" spans="3:3">
      <c r="C273" s="5"/>
    </row>
    <row r="274" spans="3:3">
      <c r="C274" s="5"/>
    </row>
    <row r="275" spans="3:3">
      <c r="C275" s="5"/>
    </row>
    <row r="276" spans="3:3">
      <c r="C276" s="5"/>
    </row>
    <row r="277" spans="3:3">
      <c r="C277" s="5"/>
    </row>
    <row r="278" spans="3:3">
      <c r="C278" s="5"/>
    </row>
    <row r="279" spans="3:3">
      <c r="C279" s="5"/>
    </row>
    <row r="280" spans="3:3">
      <c r="C280" s="5"/>
    </row>
    <row r="281" spans="3:3">
      <c r="C281" s="5"/>
    </row>
    <row r="282" spans="3:3">
      <c r="C282" s="5"/>
    </row>
    <row r="283" spans="3:3">
      <c r="C283" s="5"/>
    </row>
    <row r="284" spans="3:3">
      <c r="C284" s="5"/>
    </row>
    <row r="285" spans="3:3">
      <c r="C285" s="5"/>
    </row>
    <row r="286" spans="3:3">
      <c r="C286" s="5"/>
    </row>
    <row r="287" spans="3:3">
      <c r="C287" s="5"/>
    </row>
    <row r="288" spans="3:3">
      <c r="C288" s="5"/>
    </row>
    <row r="289" spans="3:3">
      <c r="C289" s="5"/>
    </row>
    <row r="290" spans="3:3">
      <c r="C290" s="5"/>
    </row>
    <row r="291" spans="3:3">
      <c r="C291" s="5"/>
    </row>
    <row r="292" spans="3:3">
      <c r="C292" s="5"/>
    </row>
    <row r="293" spans="3:3">
      <c r="C293" s="5"/>
    </row>
    <row r="294" spans="3:3">
      <c r="C294" s="5"/>
    </row>
    <row r="295" spans="3:3">
      <c r="C295" s="5"/>
    </row>
    <row r="296" spans="3:3">
      <c r="C296" s="5"/>
    </row>
    <row r="297" spans="3:3">
      <c r="C297" s="5"/>
    </row>
    <row r="298" spans="3:3">
      <c r="C298" s="5"/>
    </row>
    <row r="299" spans="3:3">
      <c r="C299" s="5"/>
    </row>
    <row r="300" spans="3:3">
      <c r="C300" s="5"/>
    </row>
    <row r="301" spans="3:3">
      <c r="C301" s="5"/>
    </row>
    <row r="302" spans="3:3">
      <c r="C302" s="5"/>
    </row>
    <row r="303" spans="3:3">
      <c r="C303" s="5"/>
    </row>
    <row r="304" spans="3:3">
      <c r="C304" s="5"/>
    </row>
    <row r="305" spans="3:3">
      <c r="C305" s="5"/>
    </row>
    <row r="306" spans="3:3">
      <c r="C306" s="5"/>
    </row>
    <row r="307" spans="3:3">
      <c r="C307" s="5"/>
    </row>
    <row r="308" spans="3:3">
      <c r="C308" s="5"/>
    </row>
    <row r="309" spans="3:3">
      <c r="C309" s="5"/>
    </row>
    <row r="310" spans="3:3">
      <c r="C310" s="5"/>
    </row>
    <row r="311" spans="3:3">
      <c r="C311" s="5"/>
    </row>
    <row r="312" spans="3:3">
      <c r="C312" s="5"/>
    </row>
    <row r="313" spans="3:3">
      <c r="C313" s="5"/>
    </row>
    <row r="314" spans="3:3">
      <c r="C314" s="5"/>
    </row>
    <row r="315" spans="3:3">
      <c r="C315" s="5"/>
    </row>
    <row r="316" spans="3:3">
      <c r="C316" s="5"/>
    </row>
    <row r="317" spans="3:3">
      <c r="C317" s="5"/>
    </row>
    <row r="318" spans="3:3">
      <c r="C318" s="5"/>
    </row>
    <row r="319" spans="3:3">
      <c r="C319" s="5"/>
    </row>
    <row r="320" spans="3:3">
      <c r="C320" s="5"/>
    </row>
    <row r="321" spans="3:3">
      <c r="C321" s="5"/>
    </row>
    <row r="322" spans="3:3">
      <c r="C322" s="5"/>
    </row>
    <row r="323" spans="3:3">
      <c r="C323" s="5"/>
    </row>
    <row r="324" spans="3:3">
      <c r="C324" s="5"/>
    </row>
    <row r="325" spans="3:3">
      <c r="C325" s="5"/>
    </row>
    <row r="326" spans="3:3">
      <c r="C326" s="5"/>
    </row>
    <row r="327" spans="3:3">
      <c r="C327" s="5"/>
    </row>
    <row r="328" spans="3:3">
      <c r="C328" s="5"/>
    </row>
    <row r="329" spans="3:3">
      <c r="C329" s="5"/>
    </row>
    <row r="330" spans="3:3">
      <c r="C330" s="5"/>
    </row>
    <row r="331" spans="3:3">
      <c r="C331" s="5"/>
    </row>
    <row r="332" spans="3:3">
      <c r="C332" s="5"/>
    </row>
    <row r="333" spans="3:3">
      <c r="C333" s="5"/>
    </row>
    <row r="334" spans="3:3">
      <c r="C334" s="5"/>
    </row>
    <row r="335" spans="3:3">
      <c r="C335" s="5"/>
    </row>
    <row r="336" spans="3:3">
      <c r="C336" s="5"/>
    </row>
    <row r="337" spans="3:3">
      <c r="C337" s="5"/>
    </row>
    <row r="338" spans="3:3">
      <c r="C338" s="5"/>
    </row>
    <row r="339" spans="3:3">
      <c r="C339" s="5"/>
    </row>
    <row r="340" spans="3:3">
      <c r="C340" s="5"/>
    </row>
    <row r="341" spans="3:3">
      <c r="C341" s="5"/>
    </row>
    <row r="342" spans="3:3">
      <c r="C342" s="5"/>
    </row>
    <row r="343" spans="3:3">
      <c r="C343" s="5"/>
    </row>
    <row r="344" spans="3:3">
      <c r="C344" s="5"/>
    </row>
    <row r="345" spans="3:3">
      <c r="C345" s="5"/>
    </row>
    <row r="346" spans="3:3">
      <c r="C346" s="5"/>
    </row>
    <row r="347" spans="3:3">
      <c r="C347" s="5"/>
    </row>
    <row r="348" spans="3:3">
      <c r="C348" s="5"/>
    </row>
    <row r="349" spans="3:3">
      <c r="C349" s="5"/>
    </row>
    <row r="350" spans="3:3">
      <c r="C350" s="5"/>
    </row>
    <row r="351" spans="3:3">
      <c r="C351" s="5"/>
    </row>
    <row r="352" spans="3:3">
      <c r="C352" s="5"/>
    </row>
    <row r="353" spans="3:3">
      <c r="C353" s="5"/>
    </row>
    <row r="354" spans="3:3">
      <c r="C354" s="5"/>
    </row>
    <row r="355" spans="3:3">
      <c r="C355" s="5"/>
    </row>
    <row r="356" spans="3:3">
      <c r="C356" s="5"/>
    </row>
    <row r="357" spans="3:3">
      <c r="C357" s="5"/>
    </row>
    <row r="358" spans="3:3">
      <c r="C358" s="5"/>
    </row>
    <row r="359" spans="3:3">
      <c r="C359" s="5"/>
    </row>
    <row r="360" spans="3:3">
      <c r="C360" s="5"/>
    </row>
    <row r="361" spans="3:3">
      <c r="C361" s="5"/>
    </row>
    <row r="362" spans="3:3">
      <c r="C362" s="5"/>
    </row>
    <row r="363" spans="3:3">
      <c r="C363" s="5"/>
    </row>
    <row r="364" spans="3:3">
      <c r="C364" s="5"/>
    </row>
    <row r="365" spans="3:3">
      <c r="C365" s="5"/>
    </row>
    <row r="366" spans="3:3">
      <c r="C366" s="5"/>
    </row>
    <row r="367" spans="3:3">
      <c r="C367" s="5"/>
    </row>
    <row r="368" spans="3:3">
      <c r="C368" s="5"/>
    </row>
    <row r="369" spans="3:3">
      <c r="C369" s="5"/>
    </row>
    <row r="370" spans="3:3">
      <c r="C370" s="5"/>
    </row>
    <row r="371" spans="3:3">
      <c r="C371" s="5"/>
    </row>
    <row r="372" spans="3:3">
      <c r="C372" s="5"/>
    </row>
    <row r="373" spans="3:3">
      <c r="C373" s="5"/>
    </row>
    <row r="374" spans="3:3">
      <c r="C374" s="5"/>
    </row>
    <row r="375" spans="3:3">
      <c r="C375" s="5"/>
    </row>
    <row r="376" spans="3:3">
      <c r="C376" s="5"/>
    </row>
    <row r="377" spans="3:3">
      <c r="C377" s="5"/>
    </row>
    <row r="378" spans="3:3">
      <c r="C378" s="5"/>
    </row>
    <row r="379" spans="3:3">
      <c r="C379" s="5"/>
    </row>
    <row r="380" spans="3:3">
      <c r="C380" s="5"/>
    </row>
    <row r="381" spans="3:3">
      <c r="C381" s="5"/>
    </row>
    <row r="382" spans="3:3">
      <c r="C382" s="5"/>
    </row>
    <row r="383" spans="3:3">
      <c r="C383" s="5"/>
    </row>
    <row r="384" spans="3:3">
      <c r="C384" s="5"/>
    </row>
    <row r="385" spans="3:3">
      <c r="C385" s="5"/>
    </row>
    <row r="386" spans="3:3">
      <c r="C386" s="5"/>
    </row>
    <row r="387" spans="3:3">
      <c r="C387" s="5"/>
    </row>
    <row r="388" spans="3:3">
      <c r="C388" s="5"/>
    </row>
    <row r="389" spans="3:3">
      <c r="C389" s="5"/>
    </row>
    <row r="390" spans="3:3">
      <c r="C390" s="5"/>
    </row>
    <row r="391" spans="3:3">
      <c r="C391" s="5"/>
    </row>
    <row r="392" spans="3:3">
      <c r="C392" s="5"/>
    </row>
    <row r="393" spans="3:3">
      <c r="C393" s="5"/>
    </row>
    <row r="394" spans="3:3">
      <c r="C394" s="5"/>
    </row>
    <row r="395" spans="3:3">
      <c r="C395" s="5"/>
    </row>
    <row r="396" spans="3:3">
      <c r="C396" s="5"/>
    </row>
    <row r="397" spans="3:3">
      <c r="C397" s="5"/>
    </row>
    <row r="398" spans="3:3">
      <c r="C398" s="5"/>
    </row>
    <row r="399" spans="3:3">
      <c r="C399" s="5"/>
    </row>
    <row r="400" spans="3:3">
      <c r="C400" s="5"/>
    </row>
    <row r="401" spans="3:3">
      <c r="C401" s="5"/>
    </row>
    <row r="402" spans="3:3">
      <c r="C402" s="5"/>
    </row>
    <row r="403" spans="3:3">
      <c r="C403" s="5"/>
    </row>
    <row r="404" spans="3:3">
      <c r="C404" s="5"/>
    </row>
    <row r="405" spans="3:3">
      <c r="C405" s="5"/>
    </row>
    <row r="406" spans="3:3">
      <c r="C406" s="5"/>
    </row>
    <row r="407" spans="3:3">
      <c r="C407" s="5"/>
    </row>
    <row r="408" spans="3:3">
      <c r="C408" s="5"/>
    </row>
    <row r="409" spans="3:3">
      <c r="C409" s="5"/>
    </row>
    <row r="410" spans="3:3">
      <c r="C410" s="5"/>
    </row>
    <row r="411" spans="3:3">
      <c r="C411" s="5"/>
    </row>
    <row r="412" spans="3:3">
      <c r="C412" s="5"/>
    </row>
    <row r="413" spans="3:3">
      <c r="C413" s="5"/>
    </row>
    <row r="414" spans="3:3">
      <c r="C414" s="5"/>
    </row>
    <row r="415" spans="3:3">
      <c r="C415" s="5"/>
    </row>
    <row r="416" spans="3:3">
      <c r="C416" s="5"/>
    </row>
    <row r="417" spans="3:3">
      <c r="C417" s="5"/>
    </row>
    <row r="418" spans="3:3">
      <c r="C418" s="5"/>
    </row>
    <row r="419" spans="3:3">
      <c r="C419" s="5"/>
    </row>
    <row r="420" spans="3:3">
      <c r="C420" s="5"/>
    </row>
    <row r="421" spans="3:3">
      <c r="C421" s="5"/>
    </row>
    <row r="422" spans="3:3">
      <c r="C422" s="5"/>
    </row>
    <row r="423" spans="3:3">
      <c r="C423" s="5"/>
    </row>
    <row r="424" spans="3:3">
      <c r="C424" s="5"/>
    </row>
    <row r="425" spans="3:3">
      <c r="C425" s="5"/>
    </row>
    <row r="426" spans="3:3">
      <c r="C426" s="5"/>
    </row>
    <row r="427" spans="3:3">
      <c r="C427" s="5"/>
    </row>
    <row r="428" spans="3:3">
      <c r="C428" s="5"/>
    </row>
    <row r="429" spans="3:3">
      <c r="C429" s="5"/>
    </row>
    <row r="430" spans="3:3">
      <c r="C430" s="5"/>
    </row>
    <row r="431" spans="3:3">
      <c r="C431" s="5"/>
    </row>
    <row r="432" spans="3:3">
      <c r="C432" s="5"/>
    </row>
    <row r="433" spans="3:3">
      <c r="C433" s="5"/>
    </row>
    <row r="434" spans="3:3">
      <c r="C434" s="5"/>
    </row>
    <row r="435" spans="3:3">
      <c r="C435" s="5"/>
    </row>
    <row r="436" spans="3:3">
      <c r="C436" s="5"/>
    </row>
    <row r="437" spans="3:3">
      <c r="C437" s="5"/>
    </row>
    <row r="438" spans="3:3">
      <c r="C438" s="5"/>
    </row>
    <row r="439" spans="3:3">
      <c r="C439" s="5"/>
    </row>
    <row r="440" spans="3:3">
      <c r="C440" s="5"/>
    </row>
    <row r="441" spans="3:3">
      <c r="C441" s="5"/>
    </row>
    <row r="442" spans="3:3">
      <c r="C442" s="5"/>
    </row>
    <row r="443" spans="3:3">
      <c r="C443" s="5"/>
    </row>
    <row r="444" spans="3:3">
      <c r="C444" s="5"/>
    </row>
    <row r="445" spans="3:3">
      <c r="C445" s="5"/>
    </row>
    <row r="446" spans="3:3">
      <c r="C446" s="5"/>
    </row>
    <row r="447" spans="3:3">
      <c r="C447" s="5"/>
    </row>
    <row r="448" spans="3:3">
      <c r="C448" s="5"/>
    </row>
    <row r="449" spans="3:3">
      <c r="C449" s="5"/>
    </row>
    <row r="450" spans="3:3">
      <c r="C450" s="5"/>
    </row>
    <row r="451" spans="3:3">
      <c r="C451" s="5"/>
    </row>
    <row r="452" spans="3:3">
      <c r="C452" s="5"/>
    </row>
    <row r="453" spans="3:3">
      <c r="C453" s="5"/>
    </row>
    <row r="454" spans="3:3">
      <c r="C454" s="5"/>
    </row>
    <row r="455" spans="3:3">
      <c r="C455" s="5"/>
    </row>
    <row r="456" spans="3:3">
      <c r="C456" s="5"/>
    </row>
    <row r="457" spans="3:3">
      <c r="C457" s="5"/>
    </row>
    <row r="458" spans="3:3">
      <c r="C458" s="5"/>
    </row>
    <row r="459" spans="3:3">
      <c r="C459" s="5"/>
    </row>
    <row r="460" spans="3:3">
      <c r="C460" s="5"/>
    </row>
    <row r="461" spans="3:3">
      <c r="C461" s="5"/>
    </row>
    <row r="462" spans="3:3">
      <c r="C462" s="5"/>
    </row>
    <row r="463" spans="3:3">
      <c r="C463" s="5"/>
    </row>
    <row r="464" spans="3:3">
      <c r="C464" s="5"/>
    </row>
    <row r="465" spans="3:3">
      <c r="C465" s="5"/>
    </row>
    <row r="466" spans="3:3">
      <c r="C466" s="5"/>
    </row>
    <row r="467" spans="3:3">
      <c r="C467" s="5"/>
    </row>
    <row r="468" spans="3:3">
      <c r="C468" s="5"/>
    </row>
    <row r="469" spans="3:3">
      <c r="C469" s="5"/>
    </row>
    <row r="470" spans="3:3">
      <c r="C470" s="5"/>
    </row>
    <row r="471" spans="3:3">
      <c r="C471" s="5"/>
    </row>
    <row r="472" spans="3:3">
      <c r="C472" s="5"/>
    </row>
    <row r="473" spans="3:3">
      <c r="C473" s="5"/>
    </row>
    <row r="474" spans="3:3">
      <c r="C474" s="5"/>
    </row>
    <row r="475" spans="3:3">
      <c r="C475" s="5"/>
    </row>
    <row r="476" spans="3:3">
      <c r="C476" s="5"/>
    </row>
    <row r="477" spans="3:3">
      <c r="C477" s="5"/>
    </row>
    <row r="478" spans="3:3">
      <c r="C478" s="5"/>
    </row>
    <row r="479" spans="3:3">
      <c r="C479" s="5"/>
    </row>
    <row r="480" spans="3:3">
      <c r="C480" s="5"/>
    </row>
    <row r="481" spans="3:3">
      <c r="C481" s="5"/>
    </row>
    <row r="482" spans="3:3">
      <c r="C482" s="5"/>
    </row>
    <row r="483" spans="3:3">
      <c r="C483" s="5"/>
    </row>
    <row r="484" spans="3:3">
      <c r="C484" s="5"/>
    </row>
    <row r="485" spans="3:3">
      <c r="C485" s="5"/>
    </row>
    <row r="486" spans="3:3">
      <c r="C486" s="5"/>
    </row>
    <row r="487" spans="3:3">
      <c r="C487" s="5"/>
    </row>
    <row r="488" spans="3:3">
      <c r="C488" s="5"/>
    </row>
    <row r="489" spans="3:3">
      <c r="C489" s="5"/>
    </row>
    <row r="490" spans="3:3">
      <c r="C490" s="5"/>
    </row>
    <row r="491" spans="3:3">
      <c r="C491" s="5"/>
    </row>
    <row r="492" spans="3:3">
      <c r="C492" s="5"/>
    </row>
    <row r="493" spans="3:3">
      <c r="C493" s="5"/>
    </row>
    <row r="494" spans="3:3">
      <c r="C494" s="5"/>
    </row>
    <row r="495" spans="3:3">
      <c r="C495" s="5"/>
    </row>
    <row r="496" spans="3:3">
      <c r="C496" s="5"/>
    </row>
    <row r="497" spans="3:3">
      <c r="C497" s="5"/>
    </row>
    <row r="498" spans="3:3">
      <c r="C498" s="5"/>
    </row>
    <row r="499" spans="3:3">
      <c r="C499" s="5"/>
    </row>
    <row r="500" spans="3:3">
      <c r="C500" s="5"/>
    </row>
    <row r="501" spans="3:3">
      <c r="C501" s="5"/>
    </row>
    <row r="502" spans="3:3">
      <c r="C502" s="5"/>
    </row>
    <row r="503" spans="3:3">
      <c r="C503" s="5"/>
    </row>
    <row r="504" spans="3:3">
      <c r="C504" s="5"/>
    </row>
    <row r="505" spans="3:3">
      <c r="C505" s="5"/>
    </row>
    <row r="506" spans="3:3">
      <c r="C506" s="5"/>
    </row>
    <row r="507" spans="3:3">
      <c r="C507" s="5"/>
    </row>
    <row r="508" spans="3:3">
      <c r="C508" s="5"/>
    </row>
    <row r="509" spans="3:3">
      <c r="C509" s="5"/>
    </row>
    <row r="510" spans="3:3">
      <c r="C510" s="5"/>
    </row>
    <row r="511" spans="3:3">
      <c r="C511" s="5"/>
    </row>
    <row r="512" spans="3:3">
      <c r="C512" s="5"/>
    </row>
    <row r="513" spans="3:3">
      <c r="C513" s="5"/>
    </row>
    <row r="514" spans="3:3">
      <c r="C514" s="5"/>
    </row>
    <row r="515" spans="3:3">
      <c r="C515" s="5"/>
    </row>
    <row r="516" spans="3:3">
      <c r="C516" s="5"/>
    </row>
    <row r="517" spans="3:3">
      <c r="C517" s="5"/>
    </row>
    <row r="518" spans="3:3">
      <c r="C518" s="5"/>
    </row>
    <row r="519" spans="3:3">
      <c r="C519" s="5"/>
    </row>
    <row r="520" spans="3:3">
      <c r="C520" s="5"/>
    </row>
    <row r="521" spans="3:3">
      <c r="C521" s="5"/>
    </row>
    <row r="522" spans="3:3">
      <c r="C522" s="5"/>
    </row>
    <row r="523" spans="3:3">
      <c r="C523" s="5"/>
    </row>
    <row r="524" spans="3:3">
      <c r="C524" s="5"/>
    </row>
    <row r="525" spans="3:3">
      <c r="C525" s="5"/>
    </row>
    <row r="526" spans="3:3">
      <c r="C526" s="5"/>
    </row>
    <row r="527" spans="3:3">
      <c r="C527" s="5"/>
    </row>
    <row r="528" spans="3:3">
      <c r="C528" s="5"/>
    </row>
    <row r="529" spans="3:3">
      <c r="C529" s="5"/>
    </row>
    <row r="530" spans="3:3">
      <c r="C530" s="5"/>
    </row>
    <row r="531" spans="3:3">
      <c r="C531" s="5"/>
    </row>
    <row r="532" spans="3:3">
      <c r="C532" s="5"/>
    </row>
    <row r="533" spans="3:3">
      <c r="C533" s="5"/>
    </row>
    <row r="534" spans="3:3">
      <c r="C534" s="5"/>
    </row>
    <row r="535" spans="3:3">
      <c r="C535" s="5"/>
    </row>
    <row r="536" spans="3:3">
      <c r="C536" s="5"/>
    </row>
    <row r="537" spans="3:3">
      <c r="C537" s="5"/>
    </row>
    <row r="538" spans="3:3">
      <c r="C538" s="5"/>
    </row>
    <row r="539" spans="3:3">
      <c r="C539" s="5"/>
    </row>
    <row r="540" spans="3:3">
      <c r="C540" s="5"/>
    </row>
    <row r="541" spans="3:3">
      <c r="C541" s="5"/>
    </row>
    <row r="542" spans="3:3">
      <c r="C542" s="5"/>
    </row>
    <row r="543" spans="3:3">
      <c r="C543" s="5"/>
    </row>
    <row r="544" spans="3:3">
      <c r="C544" s="5"/>
    </row>
    <row r="545" spans="3:3">
      <c r="C545" s="5"/>
    </row>
    <row r="546" spans="3:3">
      <c r="C546" s="5"/>
    </row>
    <row r="547" spans="3:3">
      <c r="C547" s="5"/>
    </row>
    <row r="548" spans="3:3">
      <c r="C548" s="5"/>
    </row>
    <row r="549" spans="3:3">
      <c r="C549" s="5"/>
    </row>
    <row r="550" spans="3:3">
      <c r="C550" s="5"/>
    </row>
    <row r="551" spans="3:3">
      <c r="C551" s="5"/>
    </row>
    <row r="552" spans="3:3">
      <c r="C552" s="5"/>
    </row>
    <row r="553" spans="3:3">
      <c r="C553" s="5"/>
    </row>
    <row r="554" spans="3:3">
      <c r="C554" s="5"/>
    </row>
    <row r="555" spans="3:3">
      <c r="C555" s="5"/>
    </row>
    <row r="556" spans="3:3">
      <c r="C556" s="5"/>
    </row>
    <row r="557" spans="3:3">
      <c r="C557" s="5"/>
    </row>
    <row r="558" spans="3:3">
      <c r="C558" s="5"/>
    </row>
    <row r="559" spans="3:3">
      <c r="C559" s="5"/>
    </row>
    <row r="560" spans="3:3">
      <c r="C560" s="5"/>
    </row>
    <row r="561" spans="3:3">
      <c r="C561" s="5"/>
    </row>
    <row r="562" spans="3:3">
      <c r="C562" s="5"/>
    </row>
    <row r="563" spans="3:3">
      <c r="C563" s="5"/>
    </row>
    <row r="564" spans="3:3">
      <c r="C564" s="5"/>
    </row>
    <row r="565" spans="3:3">
      <c r="C565" s="5"/>
    </row>
    <row r="566" spans="3:3">
      <c r="C566" s="5"/>
    </row>
    <row r="567" spans="3:3">
      <c r="C567" s="5"/>
    </row>
    <row r="568" spans="3:3">
      <c r="C568" s="5"/>
    </row>
    <row r="569" spans="3:3">
      <c r="C569" s="5"/>
    </row>
    <row r="570" spans="3:3">
      <c r="C570" s="5"/>
    </row>
    <row r="571" spans="3:3">
      <c r="C571" s="5"/>
    </row>
    <row r="572" spans="3:3">
      <c r="C572" s="5"/>
    </row>
    <row r="573" spans="3:3">
      <c r="C573" s="5"/>
    </row>
    <row r="574" spans="3:3">
      <c r="C574" s="5"/>
    </row>
    <row r="575" spans="3:3">
      <c r="C575" s="5"/>
    </row>
    <row r="576" spans="3:3">
      <c r="C576" s="5"/>
    </row>
    <row r="577" spans="3:3">
      <c r="C577" s="5"/>
    </row>
    <row r="578" spans="3:3">
      <c r="C578" s="5"/>
    </row>
    <row r="579" spans="3:3">
      <c r="C579" s="5"/>
    </row>
    <row r="580" spans="3:3">
      <c r="C580" s="5"/>
    </row>
    <row r="581" spans="3:3">
      <c r="C581" s="5"/>
    </row>
    <row r="582" spans="3:3">
      <c r="C582" s="5"/>
    </row>
    <row r="583" spans="3:3">
      <c r="C583" s="5"/>
    </row>
    <row r="584" spans="3:3">
      <c r="C584" s="5"/>
    </row>
    <row r="585" spans="3:3">
      <c r="C585" s="5"/>
    </row>
    <row r="586" spans="3:3">
      <c r="C586" s="5"/>
    </row>
    <row r="587" spans="3:3">
      <c r="C587" s="5"/>
    </row>
    <row r="588" spans="3:3">
      <c r="C588" s="5"/>
    </row>
    <row r="589" spans="3:3">
      <c r="C589" s="5"/>
    </row>
    <row r="590" spans="3:3">
      <c r="C590" s="5"/>
    </row>
    <row r="591" spans="3:3">
      <c r="C591" s="5"/>
    </row>
    <row r="592" spans="3:3">
      <c r="C592" s="5"/>
    </row>
    <row r="593" spans="3:3">
      <c r="C593" s="5"/>
    </row>
    <row r="594" spans="3:3">
      <c r="C594" s="5"/>
    </row>
    <row r="595" spans="3:3">
      <c r="C595" s="5"/>
    </row>
    <row r="596" spans="3:3">
      <c r="C596" s="5"/>
    </row>
    <row r="597" spans="3:3">
      <c r="C597" s="5"/>
    </row>
    <row r="598" spans="3:3">
      <c r="C598" s="5"/>
    </row>
    <row r="599" spans="3:3">
      <c r="C599" s="5"/>
    </row>
    <row r="600" spans="3:3">
      <c r="C600" s="5"/>
    </row>
    <row r="601" spans="3:3">
      <c r="C601" s="5"/>
    </row>
    <row r="602" spans="3:3">
      <c r="C602" s="5"/>
    </row>
    <row r="603" spans="3:3">
      <c r="C603" s="5"/>
    </row>
    <row r="604" spans="3:3">
      <c r="C604" s="5"/>
    </row>
    <row r="605" spans="3:3">
      <c r="C605" s="5"/>
    </row>
    <row r="606" spans="3:3">
      <c r="C606" s="5"/>
    </row>
    <row r="607" spans="3:3">
      <c r="C607" s="5"/>
    </row>
    <row r="608" spans="3:3">
      <c r="C608" s="5"/>
    </row>
    <row r="609" spans="3:3">
      <c r="C609" s="5"/>
    </row>
    <row r="610" spans="3:3">
      <c r="C610" s="5"/>
    </row>
    <row r="611" spans="3:3">
      <c r="C611" s="5"/>
    </row>
    <row r="612" spans="3:3">
      <c r="C612" s="5"/>
    </row>
    <row r="613" spans="3:3">
      <c r="C613" s="5"/>
    </row>
    <row r="614" spans="3:3">
      <c r="C614" s="5"/>
    </row>
    <row r="615" spans="3:3">
      <c r="C615" s="5"/>
    </row>
    <row r="616" spans="3:3">
      <c r="C616" s="5"/>
    </row>
    <row r="617" spans="3:3">
      <c r="C617" s="5"/>
    </row>
    <row r="618" spans="3:3">
      <c r="C618" s="5"/>
    </row>
    <row r="619" spans="3:3">
      <c r="C619" s="5"/>
    </row>
    <row r="620" spans="3:3">
      <c r="C620" s="5"/>
    </row>
    <row r="621" spans="3:3">
      <c r="C621" s="5"/>
    </row>
    <row r="622" spans="3:3">
      <c r="C622" s="5"/>
    </row>
    <row r="623" spans="3:3">
      <c r="C623" s="5"/>
    </row>
    <row r="624" spans="3:3">
      <c r="C624" s="5"/>
    </row>
    <row r="625" spans="3:3">
      <c r="C625" s="5"/>
    </row>
    <row r="626" spans="3:3">
      <c r="C626" s="5"/>
    </row>
    <row r="627" spans="3:3">
      <c r="C627" s="5"/>
    </row>
    <row r="628" spans="3:3">
      <c r="C628" s="5"/>
    </row>
    <row r="629" spans="3:3">
      <c r="C629" s="5"/>
    </row>
    <row r="630" spans="3:3">
      <c r="C630" s="5"/>
    </row>
    <row r="631" spans="3:3">
      <c r="C631" s="5"/>
    </row>
    <row r="632" spans="3:3">
      <c r="C632" s="5"/>
    </row>
    <row r="633" spans="3:3">
      <c r="C633" s="5"/>
    </row>
    <row r="634" spans="3:3">
      <c r="C634" s="5"/>
    </row>
    <row r="635" spans="3:3">
      <c r="C635" s="5"/>
    </row>
    <row r="636" spans="3:3">
      <c r="C636" s="5"/>
    </row>
    <row r="637" spans="3:3">
      <c r="C637" s="5"/>
    </row>
    <row r="638" spans="3:3">
      <c r="C638" s="5"/>
    </row>
    <row r="639" spans="3:3">
      <c r="C639" s="5"/>
    </row>
    <row r="640" spans="3:3">
      <c r="C640" s="5"/>
    </row>
    <row r="641" spans="3:3">
      <c r="C641" s="5"/>
    </row>
    <row r="642" spans="3:3">
      <c r="C642" s="5"/>
    </row>
    <row r="643" spans="3:3">
      <c r="C643" s="5"/>
    </row>
    <row r="644" spans="3:3">
      <c r="C644" s="5"/>
    </row>
    <row r="645" spans="3:3">
      <c r="C645" s="5"/>
    </row>
    <row r="646" spans="3:3">
      <c r="C646" s="5"/>
    </row>
    <row r="647" spans="3:3">
      <c r="C647" s="5"/>
    </row>
    <row r="648" spans="3:3">
      <c r="C648" s="5"/>
    </row>
    <row r="649" spans="3:3">
      <c r="C649" s="5"/>
    </row>
    <row r="650" spans="3:3">
      <c r="C650" s="5"/>
    </row>
    <row r="651" spans="3:3">
      <c r="C651" s="5"/>
    </row>
    <row r="652" spans="3:3">
      <c r="C652" s="5"/>
    </row>
    <row r="653" spans="3:3">
      <c r="C653" s="5"/>
    </row>
    <row r="654" spans="3:3">
      <c r="C654" s="5"/>
    </row>
    <row r="655" spans="3:3">
      <c r="C655" s="5"/>
    </row>
    <row r="656" spans="3:3">
      <c r="C656" s="5"/>
    </row>
    <row r="657" spans="3:3">
      <c r="C657" s="5"/>
    </row>
    <row r="658" spans="3:3">
      <c r="C658" s="5"/>
    </row>
    <row r="659" spans="3:3">
      <c r="C659" s="5"/>
    </row>
    <row r="660" spans="3:3">
      <c r="C660" s="5"/>
    </row>
    <row r="661" spans="3:3">
      <c r="C661" s="5"/>
    </row>
    <row r="662" spans="3:3">
      <c r="C662" s="5"/>
    </row>
    <row r="663" spans="3:3">
      <c r="C663" s="5"/>
    </row>
    <row r="664" spans="3:3">
      <c r="C664" s="5"/>
    </row>
    <row r="665" spans="3:3">
      <c r="C665" s="5"/>
    </row>
    <row r="666" spans="3:3">
      <c r="C666" s="5"/>
    </row>
    <row r="667" spans="3:3">
      <c r="C667" s="5"/>
    </row>
    <row r="668" spans="3:3">
      <c r="C668" s="5"/>
    </row>
    <row r="669" spans="3:3">
      <c r="C669" s="5"/>
    </row>
    <row r="670" spans="3:3">
      <c r="C670" s="5"/>
    </row>
    <row r="671" spans="3:3">
      <c r="C671" s="5"/>
    </row>
    <row r="672" spans="3:3">
      <c r="C672" s="5"/>
    </row>
    <row r="673" spans="3:3">
      <c r="C673" s="5"/>
    </row>
    <row r="674" spans="3:3">
      <c r="C674" s="5"/>
    </row>
    <row r="675" spans="3:3">
      <c r="C675" s="5"/>
    </row>
    <row r="676" spans="3:3">
      <c r="C676" s="5"/>
    </row>
    <row r="677" spans="3:3">
      <c r="C677" s="5"/>
    </row>
    <row r="678" spans="3:3">
      <c r="C678" s="5"/>
    </row>
    <row r="679" spans="3:3">
      <c r="C679" s="5"/>
    </row>
    <row r="680" spans="3:3">
      <c r="C680" s="5"/>
    </row>
    <row r="681" spans="3:3">
      <c r="C681" s="5"/>
    </row>
    <row r="682" spans="3:3">
      <c r="C682" s="5"/>
    </row>
    <row r="683" spans="3:3">
      <c r="C683" s="5"/>
    </row>
    <row r="684" spans="3:3">
      <c r="C684" s="5"/>
    </row>
    <row r="685" spans="3:3">
      <c r="C685" s="5"/>
    </row>
    <row r="686" spans="3:3">
      <c r="C686" s="5"/>
    </row>
    <row r="687" spans="3:3">
      <c r="C687" s="5"/>
    </row>
    <row r="688" spans="3:3">
      <c r="C688" s="5"/>
    </row>
    <row r="689" spans="3:3">
      <c r="C689" s="5"/>
    </row>
    <row r="690" spans="3:3">
      <c r="C690" s="5"/>
    </row>
    <row r="691" spans="3:3">
      <c r="C691" s="5"/>
    </row>
    <row r="692" spans="3:3">
      <c r="C692" s="5"/>
    </row>
    <row r="693" spans="3:3">
      <c r="C693" s="5"/>
    </row>
    <row r="694" spans="3:3">
      <c r="C694" s="5"/>
    </row>
    <row r="695" spans="3:3">
      <c r="C695" s="5"/>
    </row>
    <row r="696" spans="3:3">
      <c r="C696" s="5"/>
    </row>
    <row r="697" spans="3:3">
      <c r="C697" s="5"/>
    </row>
    <row r="698" spans="3:3">
      <c r="C698" s="5"/>
    </row>
    <row r="699" spans="3:3">
      <c r="C699" s="5"/>
    </row>
    <row r="700" spans="3:3">
      <c r="C700" s="5"/>
    </row>
    <row r="701" spans="3:3">
      <c r="C701" s="5"/>
    </row>
    <row r="702" spans="3:3">
      <c r="C702" s="5"/>
    </row>
    <row r="703" spans="3:3">
      <c r="C703" s="5"/>
    </row>
    <row r="704" spans="3:3">
      <c r="C704" s="5"/>
    </row>
    <row r="705" spans="3:3">
      <c r="C705" s="5"/>
    </row>
    <row r="706" spans="3:3">
      <c r="C706" s="5"/>
    </row>
    <row r="707" spans="3:3">
      <c r="C707" s="5"/>
    </row>
    <row r="708" spans="3:3">
      <c r="C708" s="5"/>
    </row>
    <row r="709" spans="3:3">
      <c r="C709" s="5"/>
    </row>
    <row r="710" spans="3:3">
      <c r="C710" s="5"/>
    </row>
    <row r="711" spans="3:3">
      <c r="C711" s="5"/>
    </row>
    <row r="712" spans="3:3">
      <c r="C712" s="5"/>
    </row>
    <row r="713" spans="3:3">
      <c r="C713" s="5"/>
    </row>
    <row r="714" spans="3:3">
      <c r="C714" s="5"/>
    </row>
    <row r="715" spans="3:3">
      <c r="C715" s="5"/>
    </row>
    <row r="716" spans="3:3">
      <c r="C716" s="5"/>
    </row>
    <row r="717" spans="3:3">
      <c r="C717" s="5"/>
    </row>
    <row r="718" spans="3:3">
      <c r="C718" s="5"/>
    </row>
    <row r="719" spans="3:3">
      <c r="C719" s="5"/>
    </row>
    <row r="720" spans="3:3">
      <c r="C720" s="5"/>
    </row>
    <row r="721" spans="3:3">
      <c r="C721" s="5"/>
    </row>
    <row r="722" spans="3:3">
      <c r="C722" s="5"/>
    </row>
    <row r="723" spans="3:3">
      <c r="C723" s="5"/>
    </row>
    <row r="724" spans="3:3">
      <c r="C724" s="5"/>
    </row>
    <row r="725" spans="3:3">
      <c r="C725" s="5"/>
    </row>
    <row r="726" spans="3:3">
      <c r="C726" s="5"/>
    </row>
    <row r="727" spans="3:3">
      <c r="C727" s="5"/>
    </row>
    <row r="728" spans="3:3">
      <c r="C728" s="5"/>
    </row>
    <row r="729" spans="3:3">
      <c r="C729" s="5"/>
    </row>
    <row r="730" spans="3:3">
      <c r="C730" s="5"/>
    </row>
    <row r="731" spans="3:3">
      <c r="C731" s="5"/>
    </row>
    <row r="732" spans="3:3">
      <c r="C732" s="5"/>
    </row>
    <row r="733" spans="3:3">
      <c r="C733" s="5"/>
    </row>
    <row r="734" spans="3:3">
      <c r="C734" s="5"/>
    </row>
    <row r="735" spans="3:3">
      <c r="C735" s="5"/>
    </row>
    <row r="736" spans="3:3">
      <c r="C736" s="5"/>
    </row>
    <row r="737" spans="3:3">
      <c r="C737" s="5"/>
    </row>
    <row r="738" spans="3:3">
      <c r="C738" s="5"/>
    </row>
    <row r="739" spans="3:3">
      <c r="C739" s="5"/>
    </row>
    <row r="740" spans="3:3">
      <c r="C740" s="5"/>
    </row>
    <row r="741" spans="3:3">
      <c r="C741" s="5"/>
    </row>
    <row r="742" spans="3:3">
      <c r="C742" s="5"/>
    </row>
    <row r="743" spans="3:3">
      <c r="C743" s="5"/>
    </row>
    <row r="744" spans="3:3">
      <c r="C744" s="5"/>
    </row>
    <row r="745" spans="3:3">
      <c r="C745" s="5"/>
    </row>
    <row r="746" spans="3:3">
      <c r="C746" s="5"/>
    </row>
    <row r="747" spans="3:3">
      <c r="C747" s="5"/>
    </row>
    <row r="748" spans="3:3">
      <c r="C748" s="5"/>
    </row>
    <row r="749" spans="3:3">
      <c r="C749" s="5"/>
    </row>
    <row r="750" spans="3:3">
      <c r="C750" s="5"/>
    </row>
    <row r="751" spans="3:3">
      <c r="C751" s="5"/>
    </row>
    <row r="752" spans="3:3">
      <c r="C752" s="5"/>
    </row>
    <row r="753" spans="3:3">
      <c r="C753" s="5"/>
    </row>
    <row r="754" spans="3:3">
      <c r="C754" s="5"/>
    </row>
    <row r="755" spans="3:3">
      <c r="C755" s="5"/>
    </row>
    <row r="756" spans="3:3">
      <c r="C756" s="5"/>
    </row>
    <row r="757" spans="3:3">
      <c r="C757" s="5"/>
    </row>
    <row r="758" spans="3:3">
      <c r="C758" s="5"/>
    </row>
    <row r="759" spans="3:3">
      <c r="C759" s="5"/>
    </row>
    <row r="760" spans="3:3">
      <c r="C760" s="5"/>
    </row>
    <row r="761" spans="3:3">
      <c r="C761" s="5"/>
    </row>
    <row r="762" spans="3:3">
      <c r="C762" s="5"/>
    </row>
    <row r="763" spans="3:3">
      <c r="C763" s="5"/>
    </row>
    <row r="764" spans="3:3">
      <c r="C764" s="5"/>
    </row>
    <row r="765" spans="3:3">
      <c r="C765" s="5"/>
    </row>
    <row r="766" spans="3:3">
      <c r="C766" s="5"/>
    </row>
    <row r="767" spans="3:3">
      <c r="C767" s="5"/>
    </row>
    <row r="768" spans="3:3">
      <c r="C768" s="5"/>
    </row>
    <row r="769" spans="3:3">
      <c r="C769" s="5"/>
    </row>
    <row r="770" spans="3:3">
      <c r="C770" s="5"/>
    </row>
    <row r="771" spans="3:3">
      <c r="C771" s="5"/>
    </row>
    <row r="772" spans="3:3">
      <c r="C772" s="5"/>
    </row>
    <row r="773" spans="3:3">
      <c r="C773" s="5"/>
    </row>
    <row r="774" spans="3:3">
      <c r="C774" s="5"/>
    </row>
    <row r="775" spans="3:3">
      <c r="C775" s="5"/>
    </row>
    <row r="776" spans="3:3">
      <c r="C776" s="5"/>
    </row>
    <row r="777" spans="3:3">
      <c r="C777" s="5"/>
    </row>
    <row r="778" spans="3:3">
      <c r="C778" s="5"/>
    </row>
    <row r="779" spans="3:3">
      <c r="C779" s="5"/>
    </row>
    <row r="780" spans="3:3">
      <c r="C780" s="5"/>
    </row>
    <row r="781" spans="3:3">
      <c r="C781" s="5"/>
    </row>
    <row r="782" spans="3:3">
      <c r="C782" s="5"/>
    </row>
    <row r="783" spans="3:3">
      <c r="C783" s="5"/>
    </row>
    <row r="784" spans="3:3">
      <c r="C784" s="5"/>
    </row>
    <row r="785" spans="3:3">
      <c r="C785" s="5"/>
    </row>
    <row r="786" spans="3:3">
      <c r="C786" s="5"/>
    </row>
    <row r="787" spans="3:3">
      <c r="C787" s="5"/>
    </row>
    <row r="788" spans="3:3">
      <c r="C788" s="5"/>
    </row>
    <row r="789" spans="3:3">
      <c r="C789" s="5"/>
    </row>
    <row r="790" spans="3:3">
      <c r="C790" s="5"/>
    </row>
    <row r="791" spans="3:3">
      <c r="C791" s="5"/>
    </row>
    <row r="792" spans="3:3">
      <c r="C792" s="5"/>
    </row>
    <row r="793" spans="3:3">
      <c r="C793" s="5"/>
    </row>
    <row r="794" spans="3:3">
      <c r="C794" s="5"/>
    </row>
    <row r="795" spans="3:3">
      <c r="C795" s="5"/>
    </row>
    <row r="796" spans="3:3">
      <c r="C796" s="5"/>
    </row>
    <row r="797" spans="3:3">
      <c r="C797" s="5"/>
    </row>
    <row r="798" spans="3:3">
      <c r="C798" s="5"/>
    </row>
    <row r="799" spans="3:3">
      <c r="C799" s="5"/>
    </row>
    <row r="800" spans="3:3">
      <c r="C800" s="5"/>
    </row>
    <row r="801" spans="3:3">
      <c r="C801" s="5"/>
    </row>
    <row r="802" spans="3:3">
      <c r="C802" s="5"/>
    </row>
    <row r="803" spans="3:3">
      <c r="C803" s="5"/>
    </row>
    <row r="804" spans="3:3">
      <c r="C804" s="5"/>
    </row>
    <row r="805" spans="3:3">
      <c r="C805" s="5"/>
    </row>
    <row r="806" spans="3:3">
      <c r="C806" s="5"/>
    </row>
    <row r="807" spans="3:3">
      <c r="C807" s="5"/>
    </row>
    <row r="808" spans="3:3">
      <c r="C808" s="5"/>
    </row>
    <row r="809" spans="3:3">
      <c r="C809" s="5"/>
    </row>
    <row r="810" spans="3:3">
      <c r="C810" s="5"/>
    </row>
    <row r="811" spans="3:3">
      <c r="C811" s="5"/>
    </row>
    <row r="812" spans="3:3">
      <c r="C812" s="5"/>
    </row>
    <row r="813" spans="3:3">
      <c r="C813" s="5"/>
    </row>
    <row r="814" spans="3:3">
      <c r="C814" s="5"/>
    </row>
    <row r="815" spans="3:3">
      <c r="C815" s="5"/>
    </row>
    <row r="816" spans="3:3">
      <c r="C816" s="5"/>
    </row>
    <row r="817" spans="3:3">
      <c r="C817" s="5"/>
    </row>
    <row r="818" spans="3:3">
      <c r="C818" s="5"/>
    </row>
    <row r="819" spans="3:3">
      <c r="C819" s="5"/>
    </row>
    <row r="820" spans="3:3">
      <c r="C820" s="5"/>
    </row>
    <row r="821" spans="3:3">
      <c r="C821" s="5"/>
    </row>
    <row r="822" spans="3:3">
      <c r="C822" s="5"/>
    </row>
    <row r="823" spans="3:3">
      <c r="C823" s="5"/>
    </row>
    <row r="824" spans="3:3">
      <c r="C824" s="5"/>
    </row>
    <row r="825" spans="3:3">
      <c r="C825" s="5"/>
    </row>
    <row r="826" spans="3:3">
      <c r="C826" s="5"/>
    </row>
    <row r="827" spans="3:3">
      <c r="C827" s="5"/>
    </row>
    <row r="828" spans="3:3">
      <c r="C828" s="5"/>
    </row>
    <row r="829" spans="3:3">
      <c r="C829" s="5"/>
    </row>
    <row r="830" spans="3:3">
      <c r="C830" s="5"/>
    </row>
    <row r="831" spans="3:3">
      <c r="C831" s="5"/>
    </row>
    <row r="832" spans="3:3">
      <c r="C832" s="5"/>
    </row>
    <row r="833" spans="3:3">
      <c r="C833" s="5"/>
    </row>
    <row r="834" spans="3:3">
      <c r="C834" s="5"/>
    </row>
    <row r="835" spans="3:3">
      <c r="C835" s="5"/>
    </row>
    <row r="836" spans="3:3">
      <c r="C836" s="5"/>
    </row>
    <row r="837" spans="3:3">
      <c r="C837" s="5"/>
    </row>
    <row r="838" spans="3:3">
      <c r="C838" s="5"/>
    </row>
    <row r="839" spans="3:3">
      <c r="C839" s="5"/>
    </row>
    <row r="840" spans="3:3">
      <c r="C840" s="5"/>
    </row>
    <row r="841" spans="3:3">
      <c r="C841" s="5"/>
    </row>
    <row r="842" spans="3:3">
      <c r="C842" s="5"/>
    </row>
    <row r="843" spans="3:3">
      <c r="C843" s="5"/>
    </row>
    <row r="844" spans="3:3">
      <c r="C844" s="5"/>
    </row>
    <row r="845" spans="3:3">
      <c r="C845" s="5"/>
    </row>
    <row r="846" spans="3:3">
      <c r="C846" s="5"/>
    </row>
    <row r="847" spans="3:3">
      <c r="C847" s="5"/>
    </row>
    <row r="848" spans="3:3">
      <c r="C848" s="5"/>
    </row>
    <row r="849" spans="3:3">
      <c r="C849" s="5"/>
    </row>
    <row r="850" spans="3:3">
      <c r="C850" s="5"/>
    </row>
    <row r="851" spans="3:3">
      <c r="C851" s="5"/>
    </row>
    <row r="852" spans="3:3">
      <c r="C852" s="5"/>
    </row>
    <row r="853" spans="3:3">
      <c r="C853" s="5"/>
    </row>
    <row r="854" spans="3:3">
      <c r="C854" s="5"/>
    </row>
    <row r="855" spans="3:3">
      <c r="C855" s="5"/>
    </row>
    <row r="856" spans="3:3">
      <c r="C856" s="5"/>
    </row>
    <row r="857" spans="3:3">
      <c r="C857" s="5"/>
    </row>
    <row r="858" spans="3:3">
      <c r="C858" s="5"/>
    </row>
    <row r="859" spans="3:3">
      <c r="C859" s="5"/>
    </row>
    <row r="860" spans="3:3">
      <c r="C860" s="5"/>
    </row>
    <row r="861" spans="3:3">
      <c r="C861" s="5"/>
    </row>
    <row r="862" spans="3:3">
      <c r="C862" s="5"/>
    </row>
    <row r="863" spans="3:3">
      <c r="C863" s="5"/>
    </row>
    <row r="864" spans="3:3">
      <c r="C864" s="5"/>
    </row>
    <row r="865" spans="3:3">
      <c r="C865" s="5"/>
    </row>
    <row r="866" spans="3:3">
      <c r="C866" s="5"/>
    </row>
    <row r="867" spans="3:3">
      <c r="C867" s="5"/>
    </row>
    <row r="868" spans="3:3">
      <c r="C868" s="5"/>
    </row>
    <row r="869" spans="3:3">
      <c r="C869" s="5"/>
    </row>
    <row r="870" spans="3:3">
      <c r="C870" s="5"/>
    </row>
    <row r="871" spans="3:3">
      <c r="C871" s="5"/>
    </row>
    <row r="872" spans="3:3">
      <c r="C872" s="5"/>
    </row>
    <row r="873" spans="3:3">
      <c r="C873" s="5"/>
    </row>
    <row r="874" spans="3:3">
      <c r="C874" s="5"/>
    </row>
    <row r="875" spans="3:3">
      <c r="C875" s="5"/>
    </row>
    <row r="876" spans="3:3">
      <c r="C876" s="5"/>
    </row>
    <row r="877" spans="3:3">
      <c r="C877" s="5"/>
    </row>
    <row r="878" spans="3:3">
      <c r="C878" s="5"/>
    </row>
    <row r="879" spans="3:3">
      <c r="C879" s="5"/>
    </row>
    <row r="880" spans="3:3">
      <c r="C880" s="5"/>
    </row>
    <row r="881" spans="3:3">
      <c r="C881" s="5"/>
    </row>
    <row r="882" spans="3:3">
      <c r="C882" s="5"/>
    </row>
    <row r="883" spans="3:3">
      <c r="C883" s="5"/>
    </row>
    <row r="884" spans="3:3">
      <c r="C884" s="5"/>
    </row>
    <row r="885" spans="3:3">
      <c r="C885" s="5"/>
    </row>
    <row r="886" spans="3:3">
      <c r="C886" s="5"/>
    </row>
    <row r="887" spans="3:3">
      <c r="C887" s="5"/>
    </row>
    <row r="888" spans="3:3">
      <c r="C888" s="5"/>
    </row>
    <row r="889" spans="3:3">
      <c r="C889" s="5"/>
    </row>
    <row r="890" spans="3:3">
      <c r="C890" s="5"/>
    </row>
    <row r="891" spans="3:3">
      <c r="C891" s="5"/>
    </row>
    <row r="892" spans="3:3">
      <c r="C892" s="5"/>
    </row>
    <row r="893" spans="3:3">
      <c r="C893" s="5"/>
    </row>
    <row r="894" spans="3:3">
      <c r="C894" s="5"/>
    </row>
    <row r="895" spans="3:3">
      <c r="C895" s="5"/>
    </row>
    <row r="896" spans="3:3">
      <c r="C896" s="5"/>
    </row>
    <row r="897" spans="3:3">
      <c r="C897" s="5"/>
    </row>
    <row r="898" spans="3:3">
      <c r="C898" s="5"/>
    </row>
    <row r="899" spans="3:3">
      <c r="C899" s="5"/>
    </row>
    <row r="900" spans="3:3">
      <c r="C900" s="5"/>
    </row>
    <row r="901" spans="3:3">
      <c r="C901" s="5"/>
    </row>
    <row r="902" spans="3:3">
      <c r="C902" s="5"/>
    </row>
    <row r="903" spans="3:3">
      <c r="C903" s="5"/>
    </row>
    <row r="904" spans="3:3">
      <c r="C904" s="5"/>
    </row>
    <row r="905" spans="3:3">
      <c r="C905" s="5"/>
    </row>
    <row r="906" spans="3:3">
      <c r="C906" s="5"/>
    </row>
    <row r="907" spans="3:3">
      <c r="C907" s="5"/>
    </row>
    <row r="908" spans="3:3">
      <c r="C908" s="5"/>
    </row>
    <row r="909" spans="3:3">
      <c r="C909" s="5"/>
    </row>
    <row r="910" spans="3:3">
      <c r="C910" s="5"/>
    </row>
    <row r="911" spans="3:3">
      <c r="C911" s="5"/>
    </row>
    <row r="912" spans="3:3">
      <c r="C912" s="5"/>
    </row>
    <row r="913" spans="3:3">
      <c r="C913" s="5"/>
    </row>
    <row r="914" spans="3:3">
      <c r="C914" s="5"/>
    </row>
    <row r="915" spans="3:3">
      <c r="C915" s="5"/>
    </row>
    <row r="916" spans="3:3">
      <c r="C916" s="5"/>
    </row>
    <row r="917" spans="3:3">
      <c r="C917" s="5"/>
    </row>
    <row r="918" spans="3:3">
      <c r="C918" s="5"/>
    </row>
    <row r="919" spans="3:3">
      <c r="C919" s="5"/>
    </row>
    <row r="920" spans="3:3">
      <c r="C920" s="5"/>
    </row>
    <row r="921" spans="3:3">
      <c r="C921" s="5"/>
    </row>
    <row r="922" spans="3:3">
      <c r="C922" s="5"/>
    </row>
    <row r="923" spans="3:3">
      <c r="C923" s="5"/>
    </row>
    <row r="924" spans="3:3">
      <c r="C924" s="5"/>
    </row>
    <row r="925" spans="3:3">
      <c r="C925" s="5"/>
    </row>
    <row r="926" spans="3:3">
      <c r="C926" s="5"/>
    </row>
    <row r="927" spans="3:3">
      <c r="C927" s="5"/>
    </row>
    <row r="928" spans="3:3">
      <c r="C928" s="5"/>
    </row>
    <row r="929" spans="3:3">
      <c r="C929" s="5"/>
    </row>
    <row r="930" spans="3:3">
      <c r="C930" s="5"/>
    </row>
    <row r="931" spans="3:3">
      <c r="C931" s="5"/>
    </row>
    <row r="932" spans="3:3">
      <c r="C932" s="5"/>
    </row>
    <row r="933" spans="3:3">
      <c r="C933" s="5"/>
    </row>
    <row r="934" spans="3:3">
      <c r="C934" s="5"/>
    </row>
    <row r="935" spans="3:3">
      <c r="C935" s="5"/>
    </row>
    <row r="936" spans="3:3">
      <c r="C936" s="5"/>
    </row>
    <row r="937" spans="3:3">
      <c r="C937" s="5"/>
    </row>
    <row r="938" spans="3:3">
      <c r="C938" s="5"/>
    </row>
    <row r="939" spans="3:3">
      <c r="C939" s="5"/>
    </row>
    <row r="940" spans="3:3">
      <c r="C940" s="5"/>
    </row>
    <row r="941" spans="3:3">
      <c r="C941" s="5"/>
    </row>
    <row r="942" spans="3:3">
      <c r="C942" s="5"/>
    </row>
    <row r="943" spans="3:3">
      <c r="C943" s="5"/>
    </row>
    <row r="944" spans="3:3">
      <c r="C944" s="5"/>
    </row>
    <row r="945" spans="3:3">
      <c r="C945" s="5"/>
    </row>
    <row r="946" spans="3:3">
      <c r="C946" s="5"/>
    </row>
    <row r="947" spans="3:3">
      <c r="C947" s="5"/>
    </row>
    <row r="948" spans="3:3">
      <c r="C948" s="5"/>
    </row>
    <row r="949" spans="3:3">
      <c r="C949" s="5"/>
    </row>
    <row r="950" spans="3:3">
      <c r="C950" s="5"/>
    </row>
    <row r="951" spans="3:3">
      <c r="C951" s="5"/>
    </row>
    <row r="952" spans="3:3">
      <c r="C952" s="5"/>
    </row>
    <row r="953" spans="3:3">
      <c r="C953" s="5"/>
    </row>
    <row r="954" spans="3:3">
      <c r="C954" s="5"/>
    </row>
    <row r="955" spans="3:3">
      <c r="C955" s="5"/>
    </row>
    <row r="956" spans="3:3">
      <c r="C956" s="5"/>
    </row>
    <row r="957" spans="3:3">
      <c r="C957" s="5"/>
    </row>
    <row r="958" spans="3:3">
      <c r="C958" s="5"/>
    </row>
    <row r="959" spans="3:3">
      <c r="C959" s="5"/>
    </row>
    <row r="960" spans="3:3">
      <c r="C960" s="5"/>
    </row>
    <row r="961" spans="3:3">
      <c r="C961" s="5"/>
    </row>
    <row r="962" spans="3:3">
      <c r="C962" s="5"/>
    </row>
    <row r="963" spans="3:3">
      <c r="C963" s="5"/>
    </row>
    <row r="964" spans="3:3">
      <c r="C964" s="5"/>
    </row>
    <row r="965" spans="3:3">
      <c r="C965" s="5"/>
    </row>
    <row r="966" spans="3:3">
      <c r="C966" s="5"/>
    </row>
    <row r="967" spans="3:3">
      <c r="C967" s="5"/>
    </row>
    <row r="968" spans="3:3">
      <c r="C968" s="5"/>
    </row>
    <row r="969" spans="3:3">
      <c r="C969" s="5"/>
    </row>
    <row r="970" spans="3:3">
      <c r="C970" s="5"/>
    </row>
    <row r="971" spans="3:3">
      <c r="C971" s="5"/>
    </row>
    <row r="972" spans="3:3">
      <c r="C972" s="5"/>
    </row>
    <row r="973" spans="3:3">
      <c r="C973" s="5"/>
    </row>
    <row r="974" spans="3:3">
      <c r="C974" s="5"/>
    </row>
    <row r="975" spans="3:3">
      <c r="C975" s="5"/>
    </row>
    <row r="976" spans="3:3">
      <c r="C976" s="5"/>
    </row>
    <row r="977" spans="3:3">
      <c r="C977" s="5"/>
    </row>
    <row r="978" spans="3:3">
      <c r="C978" s="5"/>
    </row>
    <row r="979" spans="3:3">
      <c r="C979" s="5"/>
    </row>
    <row r="980" spans="3:3">
      <c r="C980" s="5"/>
    </row>
    <row r="981" spans="3:3">
      <c r="C981" s="5"/>
    </row>
    <row r="982" spans="3:3">
      <c r="C982" s="5"/>
    </row>
    <row r="983" spans="3:3">
      <c r="C983" s="5"/>
    </row>
    <row r="984" spans="3:3">
      <c r="C984" s="5"/>
    </row>
    <row r="985" spans="3:3">
      <c r="C985" s="5"/>
    </row>
    <row r="986" spans="3:3">
      <c r="C986" s="5"/>
    </row>
    <row r="987" spans="3:3">
      <c r="C987" s="5"/>
    </row>
    <row r="988" spans="3:3">
      <c r="C988" s="5"/>
    </row>
    <row r="989" spans="3:3">
      <c r="C989" s="5"/>
    </row>
    <row r="990" spans="3:3">
      <c r="C990" s="5"/>
    </row>
    <row r="991" spans="3:3">
      <c r="C991" s="5"/>
    </row>
    <row r="992" spans="3:3">
      <c r="C992" s="5"/>
    </row>
    <row r="993" spans="3:3">
      <c r="C993" s="5"/>
    </row>
    <row r="994" spans="3:3">
      <c r="C994" s="5"/>
    </row>
    <row r="995" spans="3:3">
      <c r="C995" s="5"/>
    </row>
    <row r="996" spans="3:3">
      <c r="C996" s="5"/>
    </row>
    <row r="997" spans="3:3">
      <c r="C997" s="5"/>
    </row>
    <row r="998" spans="3:3">
      <c r="C998" s="5"/>
    </row>
    <row r="999" spans="3:3">
      <c r="C999" s="5"/>
    </row>
    <row r="1000" spans="3:3">
      <c r="C1000" s="5"/>
    </row>
    <row r="1001" spans="3:3">
      <c r="C1001" s="5"/>
    </row>
    <row r="1002" spans="3:3">
      <c r="C1002" s="5"/>
    </row>
    <row r="1003" spans="3:3">
      <c r="C1003" s="5"/>
    </row>
    <row r="1004" spans="3:3">
      <c r="C1004" s="5"/>
    </row>
    <row r="1005" spans="3:3">
      <c r="C1005" s="5"/>
    </row>
    <row r="1006" spans="3:3">
      <c r="C1006" s="5"/>
    </row>
    <row r="1007" spans="3:3">
      <c r="C1007" s="5"/>
    </row>
    <row r="1008" spans="3:3">
      <c r="C1008" s="5"/>
    </row>
    <row r="1009" spans="3:3">
      <c r="C1009" s="5"/>
    </row>
    <row r="1010" spans="3:3">
      <c r="C1010" s="5"/>
    </row>
    <row r="1011" spans="3:3">
      <c r="C1011" s="5"/>
    </row>
    <row r="1012" spans="3:3">
      <c r="C1012" s="5"/>
    </row>
    <row r="1013" spans="3:3">
      <c r="C1013" s="5"/>
    </row>
    <row r="1014" spans="3:3">
      <c r="C1014" s="5"/>
    </row>
    <row r="1015" spans="3:3">
      <c r="C1015" s="5"/>
    </row>
    <row r="1016" spans="3:3">
      <c r="C1016" s="5"/>
    </row>
    <row r="1017" spans="3:3">
      <c r="C1017" s="5"/>
    </row>
    <row r="1018" spans="3:3">
      <c r="C1018" s="5"/>
    </row>
    <row r="1019" spans="3:3">
      <c r="C1019" s="5"/>
    </row>
    <row r="1020" spans="3:3">
      <c r="C1020" s="5"/>
    </row>
    <row r="1021" spans="3:3">
      <c r="C1021" s="5"/>
    </row>
    <row r="1022" spans="3:3">
      <c r="C1022" s="5"/>
    </row>
    <row r="1023" spans="3:3">
      <c r="C1023" s="5"/>
    </row>
    <row r="1024" spans="3:3">
      <c r="C1024" s="5"/>
    </row>
    <row r="1025" spans="3:3">
      <c r="C1025" s="5"/>
    </row>
    <row r="1026" spans="3:3">
      <c r="C1026" s="5"/>
    </row>
    <row r="1027" spans="3:3">
      <c r="C1027" s="5"/>
    </row>
    <row r="1028" spans="3:3">
      <c r="C1028" s="5"/>
    </row>
    <row r="1029" spans="3:3">
      <c r="C1029" s="5"/>
    </row>
    <row r="1030" spans="3:3">
      <c r="C1030" s="5"/>
    </row>
    <row r="1031" spans="3:3">
      <c r="C1031" s="5"/>
    </row>
    <row r="1032" spans="3:3">
      <c r="C1032" s="5"/>
    </row>
    <row r="1033" spans="3:3">
      <c r="C1033" s="5"/>
    </row>
    <row r="1034" spans="3:3">
      <c r="C1034" s="5"/>
    </row>
    <row r="1035" spans="3:3">
      <c r="C1035" s="5"/>
    </row>
    <row r="1036" spans="3:3">
      <c r="C1036" s="5"/>
    </row>
    <row r="1037" spans="3:3">
      <c r="C1037" s="5"/>
    </row>
    <row r="1038" spans="3:3">
      <c r="C1038" s="5"/>
    </row>
    <row r="1039" spans="3:3">
      <c r="C1039" s="5"/>
    </row>
    <row r="1040" spans="3:3">
      <c r="C1040" s="5"/>
    </row>
    <row r="1041" spans="3:3">
      <c r="C1041" s="5"/>
    </row>
    <row r="1042" spans="3:3">
      <c r="C1042" s="5"/>
    </row>
    <row r="1043" spans="3:3">
      <c r="C1043" s="5"/>
    </row>
    <row r="1044" spans="3:3">
      <c r="C1044" s="5"/>
    </row>
    <row r="1045" spans="3:3">
      <c r="C1045" s="5"/>
    </row>
    <row r="1046" spans="3:3">
      <c r="C1046" s="5"/>
    </row>
    <row r="1047" spans="3:3">
      <c r="C1047" s="5"/>
    </row>
    <row r="1048" spans="3:3">
      <c r="C1048" s="5"/>
    </row>
    <row r="1049" spans="3:3">
      <c r="C1049" s="5"/>
    </row>
    <row r="1050" spans="3:3">
      <c r="C1050" s="5"/>
    </row>
    <row r="1051" spans="3:3">
      <c r="C1051" s="5"/>
    </row>
    <row r="1052" spans="3:3">
      <c r="C1052" s="5"/>
    </row>
    <row r="1053" spans="3:3">
      <c r="C1053" s="5"/>
    </row>
    <row r="1054" spans="3:3">
      <c r="C1054" s="5"/>
    </row>
    <row r="1055" spans="3:3">
      <c r="C1055" s="5"/>
    </row>
    <row r="1056" spans="3:3">
      <c r="C1056" s="5"/>
    </row>
    <row r="1057" spans="3:3">
      <c r="C1057" s="5"/>
    </row>
    <row r="1058" spans="3:3">
      <c r="C1058" s="5"/>
    </row>
    <row r="1059" spans="3:3">
      <c r="C1059" s="5"/>
    </row>
    <row r="1060" spans="3:3">
      <c r="C1060" s="5"/>
    </row>
    <row r="1061" spans="3:3">
      <c r="C1061" s="5"/>
    </row>
    <row r="1062" spans="3:3">
      <c r="C1062" s="5"/>
    </row>
    <row r="1063" spans="3:3">
      <c r="C1063" s="5"/>
    </row>
    <row r="1064" spans="3:3">
      <c r="C1064" s="5"/>
    </row>
    <row r="1065" spans="3:3">
      <c r="C1065" s="5"/>
    </row>
    <row r="1066" spans="3:3">
      <c r="C1066" s="5"/>
    </row>
    <row r="1067" spans="3:3">
      <c r="C1067" s="5"/>
    </row>
    <row r="1068" spans="3:3">
      <c r="C1068" s="5"/>
    </row>
    <row r="1069" spans="3:3">
      <c r="C1069" s="5"/>
    </row>
    <row r="1070" spans="3:3">
      <c r="C1070" s="5"/>
    </row>
    <row r="1071" spans="3:3">
      <c r="C1071" s="5"/>
    </row>
    <row r="1072" spans="3:3">
      <c r="C1072" s="5"/>
    </row>
    <row r="1073" spans="3:3">
      <c r="C1073" s="5"/>
    </row>
    <row r="1074" spans="3:3">
      <c r="C1074" s="5"/>
    </row>
    <row r="1075" spans="3:3">
      <c r="C1075" s="5"/>
    </row>
    <row r="1076" spans="3:3">
      <c r="C1076" s="5"/>
    </row>
    <row r="1077" spans="3:3">
      <c r="C1077" s="5"/>
    </row>
    <row r="1078" spans="3:3">
      <c r="C1078" s="5"/>
    </row>
    <row r="1079" spans="3:3">
      <c r="C1079" s="5"/>
    </row>
    <row r="1080" spans="3:3">
      <c r="C1080" s="5"/>
    </row>
    <row r="1081" spans="3:3">
      <c r="C1081" s="5"/>
    </row>
    <row r="1082" spans="3:3">
      <c r="C1082" s="5"/>
    </row>
    <row r="1083" spans="3:3">
      <c r="C1083" s="5"/>
    </row>
    <row r="1084" spans="3:3">
      <c r="C1084" s="5"/>
    </row>
    <row r="1085" spans="3:3">
      <c r="C1085" s="5"/>
    </row>
    <row r="1086" spans="3:3">
      <c r="C1086" s="5"/>
    </row>
    <row r="1087" spans="3:3">
      <c r="C1087" s="5"/>
    </row>
    <row r="1088" spans="3:3">
      <c r="C1088" s="5"/>
    </row>
    <row r="1089" spans="3:3">
      <c r="C1089" s="5"/>
    </row>
    <row r="1090" spans="3:3">
      <c r="C1090" s="5"/>
    </row>
    <row r="1091" spans="3:3">
      <c r="C1091" s="5"/>
    </row>
    <row r="1092" spans="3:3">
      <c r="C1092" s="5"/>
    </row>
    <row r="1093" spans="3:3">
      <c r="C1093" s="5"/>
    </row>
    <row r="1094" spans="3:3">
      <c r="C1094" s="5"/>
    </row>
    <row r="1095" spans="3:3">
      <c r="C1095" s="5"/>
    </row>
    <row r="1096" spans="3:3">
      <c r="C1096" s="5"/>
    </row>
    <row r="1097" spans="3:3">
      <c r="C1097" s="5"/>
    </row>
    <row r="1098" spans="3:3">
      <c r="C1098" s="5"/>
    </row>
    <row r="1099" spans="3:3">
      <c r="C1099" s="5"/>
    </row>
    <row r="1100" spans="3:3">
      <c r="C1100" s="5"/>
    </row>
    <row r="1101" spans="3:3">
      <c r="C1101" s="5"/>
    </row>
    <row r="1102" spans="3:3">
      <c r="C1102" s="5"/>
    </row>
    <row r="1103" spans="3:3">
      <c r="C1103" s="5"/>
    </row>
    <row r="1104" spans="3:3">
      <c r="C1104" s="5"/>
    </row>
    <row r="1105" spans="3:3">
      <c r="C1105" s="5"/>
    </row>
    <row r="1106" spans="3:3">
      <c r="C1106" s="5"/>
    </row>
    <row r="1107" spans="3:3">
      <c r="C1107" s="5"/>
    </row>
    <row r="1108" spans="3:3">
      <c r="C1108" s="5"/>
    </row>
    <row r="1109" spans="3:3">
      <c r="C1109" s="5"/>
    </row>
    <row r="1110" spans="3:3">
      <c r="C1110" s="5"/>
    </row>
    <row r="1111" spans="3:3">
      <c r="C1111" s="5"/>
    </row>
    <row r="1112" spans="3:3">
      <c r="C1112" s="5"/>
    </row>
    <row r="1113" spans="3:3">
      <c r="C1113" s="5"/>
    </row>
    <row r="1114" spans="3:3">
      <c r="C1114" s="5"/>
    </row>
    <row r="1115" spans="3:3">
      <c r="C1115" s="5"/>
    </row>
    <row r="1116" spans="3:3">
      <c r="C1116" s="5"/>
    </row>
    <row r="1117" spans="3:3">
      <c r="C1117" s="5"/>
    </row>
    <row r="1118" spans="3:3">
      <c r="C1118" s="5"/>
    </row>
    <row r="1119" spans="3:3">
      <c r="C1119" s="5"/>
    </row>
    <row r="1120" spans="3:3">
      <c r="C1120" s="5"/>
    </row>
    <row r="1121" spans="3:3">
      <c r="C1121" s="5"/>
    </row>
    <row r="1122" spans="3:3">
      <c r="C1122" s="5"/>
    </row>
    <row r="1123" spans="3:3">
      <c r="C1123" s="5"/>
    </row>
    <row r="1124" spans="3:3">
      <c r="C1124" s="5"/>
    </row>
    <row r="1125" spans="3:3">
      <c r="C1125" s="5"/>
    </row>
    <row r="1126" spans="3:3">
      <c r="C1126" s="5"/>
    </row>
    <row r="1127" spans="3:3">
      <c r="C1127" s="5"/>
    </row>
    <row r="1128" spans="3:3">
      <c r="C1128" s="5"/>
    </row>
    <row r="1129" spans="3:3">
      <c r="C1129" s="5"/>
    </row>
    <row r="1130" spans="3:3">
      <c r="C1130" s="5"/>
    </row>
    <row r="1131" spans="3:3">
      <c r="C1131" s="5"/>
    </row>
    <row r="1132" spans="3:3">
      <c r="C1132" s="5"/>
    </row>
    <row r="1133" spans="3:3">
      <c r="C1133" s="5"/>
    </row>
    <row r="1134" spans="3:3">
      <c r="C1134" s="5"/>
    </row>
    <row r="1135" spans="3:3">
      <c r="C1135" s="5"/>
    </row>
    <row r="1136" spans="3:3">
      <c r="C1136" s="5"/>
    </row>
    <row r="1137" spans="3:3">
      <c r="C1137" s="5"/>
    </row>
    <row r="1138" spans="3:3">
      <c r="C1138" s="5"/>
    </row>
    <row r="1139" spans="3:3">
      <c r="C1139" s="5"/>
    </row>
    <row r="1140" spans="3:3">
      <c r="C1140" s="5"/>
    </row>
    <row r="1141" spans="3:3">
      <c r="C1141" s="5"/>
    </row>
    <row r="1142" spans="3:3">
      <c r="C1142" s="5"/>
    </row>
    <row r="1143" spans="3:3">
      <c r="C1143" s="5"/>
    </row>
    <row r="1144" spans="3:3">
      <c r="C1144" s="5"/>
    </row>
    <row r="1145" spans="3:3">
      <c r="C1145" s="5"/>
    </row>
    <row r="1146" spans="3:3">
      <c r="C1146" s="5"/>
    </row>
    <row r="1147" spans="3:3">
      <c r="C1147" s="5"/>
    </row>
    <row r="1148" spans="3:3">
      <c r="C1148" s="5"/>
    </row>
    <row r="1149" spans="3:3">
      <c r="C1149" s="5"/>
    </row>
    <row r="1150" spans="3:3">
      <c r="C1150" s="5"/>
    </row>
    <row r="1151" spans="3:3">
      <c r="C1151" s="5"/>
    </row>
    <row r="1152" spans="3:3">
      <c r="C1152" s="5"/>
    </row>
    <row r="1153" spans="3:3">
      <c r="C1153" s="5"/>
    </row>
    <row r="1154" spans="3:3">
      <c r="C1154" s="5"/>
    </row>
    <row r="1155" spans="3:3">
      <c r="C1155" s="5"/>
    </row>
    <row r="1156" spans="3:3">
      <c r="C1156" s="5"/>
    </row>
    <row r="1157" spans="3:3">
      <c r="C1157" s="5"/>
    </row>
    <row r="1158" spans="3:3">
      <c r="C1158" s="5"/>
    </row>
    <row r="1159" spans="3:3">
      <c r="C1159" s="5"/>
    </row>
    <row r="1160" spans="3:3">
      <c r="C1160" s="5"/>
    </row>
    <row r="1161" spans="3:3">
      <c r="C1161" s="5"/>
    </row>
    <row r="1162" spans="3:3">
      <c r="C1162" s="5"/>
    </row>
    <row r="1163" spans="3:3">
      <c r="C1163" s="5"/>
    </row>
    <row r="1164" spans="3:3">
      <c r="C1164" s="5"/>
    </row>
    <row r="1165" spans="3:3">
      <c r="C1165" s="5"/>
    </row>
    <row r="1166" spans="3:3">
      <c r="C1166" s="5"/>
    </row>
    <row r="1167" spans="3:3">
      <c r="C1167" s="5"/>
    </row>
    <row r="1168" spans="3:3">
      <c r="C1168" s="5"/>
    </row>
    <row r="1169" spans="3:3">
      <c r="C1169" s="5"/>
    </row>
    <row r="1170" spans="3:3">
      <c r="C1170" s="5"/>
    </row>
    <row r="1171" spans="3:3">
      <c r="C1171" s="5"/>
    </row>
    <row r="1172" spans="3:3">
      <c r="C1172" s="5"/>
    </row>
    <row r="1173" spans="3:3">
      <c r="C1173" s="5"/>
    </row>
    <row r="1174" spans="3:3">
      <c r="C1174" s="5"/>
    </row>
    <row r="1175" spans="3:3">
      <c r="C1175" s="5"/>
    </row>
    <row r="1176" spans="3:3">
      <c r="C1176" s="5"/>
    </row>
    <row r="1177" spans="3:3">
      <c r="C1177" s="5"/>
    </row>
    <row r="1178" spans="3:3">
      <c r="C1178" s="5"/>
    </row>
    <row r="1179" spans="3:3">
      <c r="C1179" s="5"/>
    </row>
    <row r="1180" spans="3:3">
      <c r="C1180" s="5"/>
    </row>
    <row r="1181" spans="3:3">
      <c r="C1181" s="5"/>
    </row>
    <row r="1182" spans="3:3">
      <c r="C1182" s="5"/>
    </row>
    <row r="1183" spans="3:3">
      <c r="C1183" s="5"/>
    </row>
    <row r="1184" spans="3:3">
      <c r="C1184" s="5"/>
    </row>
    <row r="1185" spans="3:3">
      <c r="C1185" s="5"/>
    </row>
    <row r="1186" spans="3:3">
      <c r="C1186" s="5"/>
    </row>
    <row r="1187" spans="3:3">
      <c r="C1187" s="5"/>
    </row>
    <row r="1188" spans="3:3">
      <c r="C1188" s="5"/>
    </row>
    <row r="1189" spans="3:3">
      <c r="C1189" s="5"/>
    </row>
    <row r="1190" spans="3:3">
      <c r="C1190" s="5"/>
    </row>
    <row r="1191" spans="3:3">
      <c r="C1191" s="5"/>
    </row>
    <row r="1192" spans="3:3">
      <c r="C1192" s="5"/>
    </row>
    <row r="1193" spans="3:3">
      <c r="C1193" s="5"/>
    </row>
    <row r="1194" spans="3:3">
      <c r="C1194" s="5"/>
    </row>
    <row r="1195" spans="3:3">
      <c r="C1195" s="5"/>
    </row>
    <row r="1196" spans="3:3">
      <c r="C1196" s="5"/>
    </row>
    <row r="1197" spans="3:3">
      <c r="C1197" s="5"/>
    </row>
    <row r="1198" spans="3:3">
      <c r="C1198" s="5"/>
    </row>
    <row r="1199" spans="3:3">
      <c r="C1199" s="5"/>
    </row>
    <row r="1200" spans="3:3">
      <c r="C1200" s="5"/>
    </row>
    <row r="1201" spans="3:3">
      <c r="C1201" s="5"/>
    </row>
    <row r="1202" spans="3:3">
      <c r="C1202" s="5"/>
    </row>
    <row r="1203" spans="3:3">
      <c r="C1203" s="5"/>
    </row>
    <row r="1204" spans="3:3">
      <c r="C1204" s="5"/>
    </row>
    <row r="1205" spans="3:3">
      <c r="C1205" s="5"/>
    </row>
    <row r="1206" spans="3:3">
      <c r="C1206" s="5"/>
    </row>
    <row r="1207" spans="3:3">
      <c r="C1207" s="5"/>
    </row>
    <row r="1208" spans="3:3">
      <c r="C1208" s="5"/>
    </row>
    <row r="1209" spans="3:3">
      <c r="C1209" s="5"/>
    </row>
    <row r="1210" spans="3:3">
      <c r="C1210" s="5"/>
    </row>
    <row r="1211" spans="3:3">
      <c r="C1211" s="5"/>
    </row>
    <row r="1212" spans="3:3">
      <c r="C1212" s="5"/>
    </row>
    <row r="1213" spans="3:3">
      <c r="C1213" s="5"/>
    </row>
    <row r="1214" spans="3:3">
      <c r="C1214" s="5"/>
    </row>
    <row r="1215" spans="3:3">
      <c r="C1215" s="5"/>
    </row>
    <row r="1216" spans="3:3">
      <c r="C1216" s="5"/>
    </row>
    <row r="1217" spans="3:3">
      <c r="C1217" s="5"/>
    </row>
    <row r="1218" spans="3:3">
      <c r="C1218" s="5"/>
    </row>
    <row r="1219" spans="3:3">
      <c r="C1219" s="5"/>
    </row>
    <row r="1220" spans="3:3">
      <c r="C1220" s="5"/>
    </row>
    <row r="1221" spans="3:3">
      <c r="C1221" s="5"/>
    </row>
    <row r="1222" spans="3:3">
      <c r="C1222" s="5"/>
    </row>
    <row r="1223" spans="3:3">
      <c r="C1223" s="5"/>
    </row>
    <row r="1224" spans="3:3">
      <c r="C1224" s="5"/>
    </row>
    <row r="1225" spans="3:3">
      <c r="C1225" s="5"/>
    </row>
    <row r="1226" spans="3:3">
      <c r="C1226" s="5"/>
    </row>
    <row r="1227" spans="3:3">
      <c r="C1227" s="5"/>
    </row>
    <row r="1228" spans="3:3">
      <c r="C1228" s="5"/>
    </row>
    <row r="1229" spans="3:3">
      <c r="C1229" s="5"/>
    </row>
    <row r="1230" spans="3:3">
      <c r="C1230" s="5"/>
    </row>
    <row r="1231" spans="3:3">
      <c r="C1231" s="5"/>
    </row>
    <row r="1232" spans="3:3">
      <c r="C1232" s="5"/>
    </row>
    <row r="1233" spans="3:3">
      <c r="C1233" s="5"/>
    </row>
    <row r="1234" spans="3:3">
      <c r="C1234" s="5"/>
    </row>
    <row r="1235" spans="3:3">
      <c r="C1235" s="5"/>
    </row>
    <row r="1236" spans="3:3">
      <c r="C1236" s="5"/>
    </row>
    <row r="1237" spans="3:3">
      <c r="C1237" s="5"/>
    </row>
    <row r="1238" spans="3:3">
      <c r="C1238" s="5"/>
    </row>
    <row r="1239" spans="3:3">
      <c r="C1239" s="5"/>
    </row>
    <row r="1240" spans="3:3">
      <c r="C1240" s="5"/>
    </row>
    <row r="1241" spans="3:3">
      <c r="C1241" s="5"/>
    </row>
    <row r="1242" spans="3:3">
      <c r="C1242" s="5"/>
    </row>
    <row r="1243" spans="3:3">
      <c r="C1243" s="5"/>
    </row>
    <row r="1244" spans="3:3">
      <c r="C1244" s="5"/>
    </row>
    <row r="1245" spans="3:3">
      <c r="C1245" s="5"/>
    </row>
    <row r="1246" spans="3:3">
      <c r="C1246" s="5"/>
    </row>
    <row r="1247" spans="3:3">
      <c r="C1247" s="5"/>
    </row>
    <row r="1248" spans="3:3">
      <c r="C1248" s="5"/>
    </row>
    <row r="1249" spans="3:3">
      <c r="C1249" s="5"/>
    </row>
    <row r="1250" spans="3:3">
      <c r="C1250" s="5"/>
    </row>
    <row r="1251" spans="3:3">
      <c r="C1251" s="5"/>
    </row>
    <row r="1252" spans="3:3">
      <c r="C1252" s="5"/>
    </row>
    <row r="1253" spans="3:3">
      <c r="C1253" s="5"/>
    </row>
    <row r="1254" spans="3:3">
      <c r="C1254" s="5"/>
    </row>
    <row r="1255" spans="3:3">
      <c r="C1255" s="5"/>
    </row>
    <row r="1256" spans="3:3">
      <c r="C1256" s="5"/>
    </row>
    <row r="1257" spans="3:3">
      <c r="C1257" s="5"/>
    </row>
    <row r="1258" spans="3:3">
      <c r="C1258" s="5"/>
    </row>
    <row r="1259" spans="3:3">
      <c r="C1259" s="5"/>
    </row>
    <row r="1260" spans="3:3">
      <c r="C1260" s="5"/>
    </row>
    <row r="1261" spans="3:3">
      <c r="C1261" s="5"/>
    </row>
    <row r="1262" spans="3:3">
      <c r="C1262" s="5"/>
    </row>
    <row r="1263" spans="3:3">
      <c r="C1263" s="5"/>
    </row>
    <row r="1264" spans="3:3">
      <c r="C1264" s="5"/>
    </row>
    <row r="1265" spans="3:3">
      <c r="C1265" s="5"/>
    </row>
    <row r="1266" spans="3:3">
      <c r="C1266" s="5"/>
    </row>
    <row r="1267" spans="3:3">
      <c r="C1267" s="5"/>
    </row>
    <row r="1268" spans="3:3">
      <c r="C1268" s="5"/>
    </row>
    <row r="1269" spans="3:3">
      <c r="C1269" s="5"/>
    </row>
    <row r="1270" spans="3:3">
      <c r="C1270" s="5"/>
    </row>
    <row r="1271" spans="3:3">
      <c r="C1271" s="5"/>
    </row>
    <row r="1272" spans="3:3">
      <c r="C1272" s="5"/>
    </row>
    <row r="1273" spans="3:3">
      <c r="C1273" s="5"/>
    </row>
    <row r="1274" spans="3:3">
      <c r="C1274" s="5"/>
    </row>
    <row r="1275" spans="3:3">
      <c r="C1275" s="5"/>
    </row>
    <row r="1276" spans="3:3">
      <c r="C1276" s="5"/>
    </row>
    <row r="1277" spans="3:3">
      <c r="C1277" s="5"/>
    </row>
    <row r="1278" spans="3:3">
      <c r="C1278" s="5"/>
    </row>
    <row r="1279" spans="3:3">
      <c r="C1279" s="5"/>
    </row>
    <row r="1280" spans="3:3">
      <c r="C1280" s="5"/>
    </row>
    <row r="1281" spans="3:3">
      <c r="C1281" s="5"/>
    </row>
    <row r="1282" spans="3:3">
      <c r="C1282" s="5"/>
    </row>
    <row r="1283" spans="3:3">
      <c r="C1283" s="5"/>
    </row>
    <row r="1284" spans="3:3">
      <c r="C1284" s="5"/>
    </row>
    <row r="1285" spans="3:3">
      <c r="C1285" s="5"/>
    </row>
    <row r="1286" spans="3:3">
      <c r="C1286" s="5"/>
    </row>
    <row r="1287" spans="3:3">
      <c r="C1287" s="5"/>
    </row>
    <row r="1288" spans="3:3">
      <c r="C1288" s="5"/>
    </row>
    <row r="1289" spans="3:3">
      <c r="C1289" s="5"/>
    </row>
    <row r="1290" spans="3:3">
      <c r="C1290" s="5"/>
    </row>
    <row r="1291" spans="3:3">
      <c r="C1291" s="5"/>
    </row>
    <row r="1292" spans="3:3">
      <c r="C1292" s="5"/>
    </row>
    <row r="1293" spans="3:3">
      <c r="C1293" s="5"/>
    </row>
    <row r="1294" spans="3:3">
      <c r="C1294" s="5"/>
    </row>
    <row r="1295" spans="3:3">
      <c r="C1295" s="5"/>
    </row>
    <row r="1296" spans="3:3">
      <c r="C1296" s="5"/>
    </row>
    <row r="1297" spans="3:3">
      <c r="C1297" s="5"/>
    </row>
    <row r="1298" spans="3:3">
      <c r="C1298" s="5"/>
    </row>
    <row r="1299" spans="3:3">
      <c r="C1299" s="5"/>
    </row>
    <row r="1300" spans="3:3">
      <c r="C1300" s="5"/>
    </row>
    <row r="1301" spans="3:3">
      <c r="C1301" s="5"/>
    </row>
    <row r="1302" spans="3:3">
      <c r="C1302" s="5"/>
    </row>
    <row r="1303" spans="3:3">
      <c r="C1303" s="5"/>
    </row>
    <row r="1304" spans="3:3">
      <c r="C1304" s="5"/>
    </row>
    <row r="1305" spans="3:3">
      <c r="C1305" s="5"/>
    </row>
    <row r="1306" spans="3:3">
      <c r="C1306" s="5"/>
    </row>
    <row r="1307" spans="3:3">
      <c r="C1307" s="5"/>
    </row>
    <row r="1308" spans="3:3">
      <c r="C1308" s="5"/>
    </row>
    <row r="1309" spans="3:3">
      <c r="C1309" s="5"/>
    </row>
    <row r="1310" spans="3:3">
      <c r="C1310" s="5"/>
    </row>
    <row r="1311" spans="3:3">
      <c r="C1311" s="5"/>
    </row>
    <row r="1312" spans="3:3">
      <c r="C1312" s="5"/>
    </row>
    <row r="1313" spans="3:3">
      <c r="C1313" s="5"/>
    </row>
    <row r="1314" spans="3:3">
      <c r="C1314" s="5"/>
    </row>
    <row r="1315" spans="3:3">
      <c r="C1315" s="5"/>
    </row>
    <row r="1316" spans="3:3">
      <c r="C1316" s="5"/>
    </row>
    <row r="1317" spans="3:3">
      <c r="C1317" s="5"/>
    </row>
    <row r="1318" spans="3:3">
      <c r="C1318" s="5"/>
    </row>
    <row r="1319" spans="3:3">
      <c r="C1319" s="5"/>
    </row>
    <row r="1320" spans="3:3">
      <c r="C1320" s="5"/>
    </row>
    <row r="1321" spans="3:3">
      <c r="C1321" s="5"/>
    </row>
    <row r="1322" spans="3:3">
      <c r="C1322" s="5"/>
    </row>
    <row r="1323" spans="3:3">
      <c r="C1323" s="5"/>
    </row>
    <row r="1324" spans="3:3">
      <c r="C1324" s="5"/>
    </row>
    <row r="1325" spans="3:3">
      <c r="C1325" s="5"/>
    </row>
    <row r="1326" spans="3:3">
      <c r="C1326" s="5"/>
    </row>
    <row r="1327" spans="3:3">
      <c r="C1327" s="5"/>
    </row>
    <row r="1328" spans="3:3">
      <c r="C1328" s="5"/>
    </row>
    <row r="1329" spans="3:3">
      <c r="C1329" s="5"/>
    </row>
    <row r="1330" spans="3:3">
      <c r="C1330" s="5"/>
    </row>
    <row r="1331" spans="3:3">
      <c r="C1331" s="5"/>
    </row>
    <row r="1332" spans="3:3">
      <c r="C1332" s="5"/>
    </row>
    <row r="1333" spans="3:3">
      <c r="C1333" s="5"/>
    </row>
    <row r="1334" spans="3:3">
      <c r="C1334" s="5"/>
    </row>
    <row r="1335" spans="3:3">
      <c r="C1335" s="5"/>
    </row>
    <row r="1336" spans="3:3">
      <c r="C1336" s="5"/>
    </row>
    <row r="1337" spans="3:3">
      <c r="C1337" s="5"/>
    </row>
    <row r="1338" spans="3:3">
      <c r="C1338" s="5"/>
    </row>
    <row r="1339" spans="3:3">
      <c r="C1339" s="5"/>
    </row>
    <row r="1340" spans="3:3">
      <c r="C1340" s="5"/>
    </row>
    <row r="1341" spans="3:3">
      <c r="C1341" s="5"/>
    </row>
    <row r="1342" spans="3:3">
      <c r="C1342" s="5"/>
    </row>
    <row r="1343" spans="3:3">
      <c r="C1343" s="5"/>
    </row>
    <row r="1344" spans="3:3">
      <c r="C1344" s="5"/>
    </row>
    <row r="1345" spans="3:3">
      <c r="C1345" s="5"/>
    </row>
    <row r="1346" spans="3:3">
      <c r="C1346" s="5"/>
    </row>
    <row r="1347" spans="3:3">
      <c r="C1347" s="5"/>
    </row>
    <row r="1348" spans="3:3">
      <c r="C1348" s="5"/>
    </row>
    <row r="1349" spans="3:3">
      <c r="C1349" s="5"/>
    </row>
    <row r="1350" spans="3:3">
      <c r="C1350" s="5"/>
    </row>
    <row r="1351" spans="3:3">
      <c r="C1351" s="5"/>
    </row>
    <row r="1352" spans="3:3">
      <c r="C1352" s="5"/>
    </row>
    <row r="1353" spans="3:3">
      <c r="C1353" s="5"/>
    </row>
    <row r="1354" spans="3:3">
      <c r="C1354" s="5"/>
    </row>
    <row r="1355" spans="3:3">
      <c r="C1355" s="5"/>
    </row>
    <row r="1356" spans="3:3">
      <c r="C1356" s="5"/>
    </row>
    <row r="1357" spans="3:3">
      <c r="C1357" s="5"/>
    </row>
    <row r="1358" spans="3:3">
      <c r="C1358" s="5"/>
    </row>
    <row r="1359" spans="3:3">
      <c r="C1359" s="5"/>
    </row>
    <row r="1360" spans="3:3">
      <c r="C1360" s="5"/>
    </row>
    <row r="1361" spans="3:3">
      <c r="C1361" s="5"/>
    </row>
    <row r="1362" spans="3:3">
      <c r="C1362" s="5"/>
    </row>
    <row r="1363" spans="3:3">
      <c r="C1363" s="5"/>
    </row>
    <row r="1364" spans="3:3">
      <c r="C1364" s="5"/>
    </row>
    <row r="1365" spans="3:3">
      <c r="C1365" s="5"/>
    </row>
    <row r="1366" spans="3:3">
      <c r="C1366" s="5"/>
    </row>
    <row r="1367" spans="3:3">
      <c r="C1367" s="5"/>
    </row>
    <row r="1368" spans="3:3">
      <c r="C1368" s="5"/>
    </row>
    <row r="1369" spans="3:3">
      <c r="C1369" s="5"/>
    </row>
    <row r="1370" spans="3:3">
      <c r="C1370" s="5"/>
    </row>
    <row r="1371" spans="3:3">
      <c r="C1371" s="5"/>
    </row>
    <row r="1372" spans="3:3">
      <c r="C1372" s="5"/>
    </row>
    <row r="1373" spans="3:3">
      <c r="C1373" s="5"/>
    </row>
    <row r="1374" spans="3:3">
      <c r="C1374" s="5"/>
    </row>
    <row r="1375" spans="3:3">
      <c r="C1375" s="5"/>
    </row>
    <row r="1376" spans="3:3">
      <c r="C1376" s="5"/>
    </row>
    <row r="1377" spans="3:3">
      <c r="C1377" s="5"/>
    </row>
    <row r="1378" spans="3:3">
      <c r="C1378" s="5"/>
    </row>
    <row r="1379" spans="3:3">
      <c r="C1379" s="5"/>
    </row>
    <row r="1380" spans="3:3">
      <c r="C1380" s="5"/>
    </row>
    <row r="1381" spans="3:3">
      <c r="C1381" s="5"/>
    </row>
    <row r="1382" spans="3:3">
      <c r="C1382" s="5"/>
    </row>
    <row r="1383" spans="3:3">
      <c r="C1383" s="5"/>
    </row>
    <row r="1384" spans="3:3">
      <c r="C1384" s="5"/>
    </row>
    <row r="1385" spans="3:3">
      <c r="C1385" s="5"/>
    </row>
    <row r="1386" spans="3:3">
      <c r="C1386" s="5"/>
    </row>
    <row r="1387" spans="3:3">
      <c r="C1387" s="5"/>
    </row>
    <row r="1388" spans="3:3">
      <c r="C1388" s="5"/>
    </row>
    <row r="1389" spans="3:3">
      <c r="C1389" s="5"/>
    </row>
    <row r="1390" spans="3:3">
      <c r="C1390" s="5"/>
    </row>
    <row r="1391" spans="3:3">
      <c r="C1391" s="5"/>
    </row>
    <row r="1392" spans="3:3">
      <c r="C1392" s="5"/>
    </row>
    <row r="1393" spans="3:3">
      <c r="C1393" s="5"/>
    </row>
    <row r="1394" spans="3:3">
      <c r="C1394" s="5"/>
    </row>
    <row r="1395" spans="3:3">
      <c r="C1395" s="5"/>
    </row>
    <row r="1396" spans="3:3">
      <c r="C1396" s="5"/>
    </row>
    <row r="1397" spans="3:3">
      <c r="C1397" s="5"/>
    </row>
    <row r="1398" spans="3:3">
      <c r="C1398" s="5"/>
    </row>
    <row r="1399" spans="3:3">
      <c r="C1399" s="5"/>
    </row>
    <row r="1400" spans="3:3">
      <c r="C1400" s="5"/>
    </row>
    <row r="1401" spans="3:3">
      <c r="C1401" s="5"/>
    </row>
    <row r="1402" spans="3:3">
      <c r="C1402" s="5"/>
    </row>
    <row r="1403" spans="3:3">
      <c r="C1403" s="5"/>
    </row>
    <row r="1404" spans="3:3">
      <c r="C1404" s="5"/>
    </row>
    <row r="1405" spans="3:3">
      <c r="C1405" s="5"/>
    </row>
    <row r="1406" spans="3:3">
      <c r="C1406" s="5"/>
    </row>
    <row r="1407" spans="3:3">
      <c r="C1407" s="5"/>
    </row>
    <row r="1408" spans="3:3">
      <c r="C1408" s="5"/>
    </row>
    <row r="1409" spans="3:3">
      <c r="C1409" s="5"/>
    </row>
    <row r="1410" spans="3:3">
      <c r="C1410" s="5"/>
    </row>
    <row r="1411" spans="3:3">
      <c r="C1411" s="5"/>
    </row>
    <row r="1412" spans="3:3">
      <c r="C1412" s="5"/>
    </row>
    <row r="1413" spans="3:3">
      <c r="C1413" s="5"/>
    </row>
    <row r="1414" spans="3:3">
      <c r="C1414" s="5"/>
    </row>
    <row r="1415" spans="3:3">
      <c r="C1415" s="5"/>
    </row>
    <row r="1416" spans="3:3">
      <c r="C1416" s="5"/>
    </row>
    <row r="1417" spans="3:3">
      <c r="C1417" s="5"/>
    </row>
    <row r="1418" spans="3:3">
      <c r="C1418" s="5"/>
    </row>
    <row r="1419" spans="3:3">
      <c r="C1419" s="5"/>
    </row>
    <row r="1420" spans="3:3">
      <c r="C1420" s="5"/>
    </row>
    <row r="1421" spans="3:3">
      <c r="C1421" s="5"/>
    </row>
    <row r="1422" spans="3:3">
      <c r="C1422" s="5"/>
    </row>
    <row r="1423" spans="3:3">
      <c r="C1423" s="5"/>
    </row>
    <row r="1424" spans="3:3">
      <c r="C1424" s="5"/>
    </row>
    <row r="1425" spans="3:3">
      <c r="C1425" s="5"/>
    </row>
    <row r="1426" spans="3:3">
      <c r="C1426" s="5"/>
    </row>
    <row r="1427" spans="3:3">
      <c r="C1427" s="5"/>
    </row>
    <row r="1428" spans="3:3">
      <c r="C1428" s="5"/>
    </row>
    <row r="1429" spans="3:3">
      <c r="C1429" s="5"/>
    </row>
    <row r="1430" spans="3:3">
      <c r="C1430" s="5"/>
    </row>
    <row r="1431" spans="3:3">
      <c r="C1431" s="5"/>
    </row>
    <row r="1432" spans="3:3">
      <c r="C1432" s="5"/>
    </row>
    <row r="1433" spans="3:3">
      <c r="C1433" s="5"/>
    </row>
    <row r="1434" spans="3:3">
      <c r="C1434" s="5"/>
    </row>
    <row r="1435" spans="3:3">
      <c r="C1435" s="5"/>
    </row>
    <row r="1436" spans="3:3">
      <c r="C1436" s="5"/>
    </row>
    <row r="1437" spans="3:3">
      <c r="C1437" s="5"/>
    </row>
    <row r="1438" spans="3:3">
      <c r="C1438" s="5"/>
    </row>
    <row r="1439" spans="3:3">
      <c r="C1439" s="5"/>
    </row>
    <row r="1440" spans="3:3">
      <c r="C1440" s="5"/>
    </row>
    <row r="1441" spans="3:3">
      <c r="C1441" s="5"/>
    </row>
    <row r="1442" spans="3:3">
      <c r="C1442" s="5"/>
    </row>
    <row r="1443" spans="3:3">
      <c r="C1443" s="5"/>
    </row>
    <row r="1444" spans="3:3">
      <c r="C1444" s="5"/>
    </row>
    <row r="1445" spans="3:3">
      <c r="C1445" s="5"/>
    </row>
    <row r="1446" spans="3:3">
      <c r="C1446" s="5"/>
    </row>
    <row r="1447" spans="3:3">
      <c r="C1447" s="5"/>
    </row>
    <row r="1448" spans="3:3">
      <c r="C1448" s="5"/>
    </row>
    <row r="1449" spans="3:3">
      <c r="C1449" s="5"/>
    </row>
    <row r="1450" spans="3:3">
      <c r="C1450" s="5"/>
    </row>
    <row r="1451" spans="3:3">
      <c r="C1451" s="5"/>
    </row>
    <row r="1452" spans="3:3">
      <c r="C1452" s="5"/>
    </row>
    <row r="1453" spans="3:3">
      <c r="C1453" s="5"/>
    </row>
    <row r="1454" spans="3:3">
      <c r="C1454" s="5"/>
    </row>
    <row r="1455" spans="3:3">
      <c r="C1455" s="5"/>
    </row>
    <row r="1456" spans="3:3">
      <c r="C1456" s="5"/>
    </row>
    <row r="1457" spans="3:3">
      <c r="C1457" s="5"/>
    </row>
    <row r="1458" spans="3:3">
      <c r="C1458" s="5"/>
    </row>
    <row r="1459" spans="3:3">
      <c r="C1459" s="5"/>
    </row>
    <row r="1460" spans="3:3">
      <c r="C1460" s="5"/>
    </row>
    <row r="1461" spans="3:3">
      <c r="C1461" s="5"/>
    </row>
    <row r="1462" spans="3:3">
      <c r="C1462" s="5"/>
    </row>
    <row r="1463" spans="3:3">
      <c r="C1463" s="5"/>
    </row>
    <row r="1464" spans="3:3">
      <c r="C1464" s="5"/>
    </row>
    <row r="1465" spans="3:3">
      <c r="C1465" s="5"/>
    </row>
    <row r="1466" spans="3:3">
      <c r="C1466" s="5"/>
    </row>
    <row r="1467" spans="3:3">
      <c r="C1467" s="5"/>
    </row>
    <row r="1468" spans="3:3">
      <c r="C1468" s="5"/>
    </row>
    <row r="1469" spans="3:3">
      <c r="C1469" s="5"/>
    </row>
    <row r="1470" spans="3:3">
      <c r="C1470" s="5"/>
    </row>
    <row r="1471" spans="3:3">
      <c r="C1471" s="5"/>
    </row>
    <row r="1472" spans="3:3">
      <c r="C1472" s="5"/>
    </row>
    <row r="1473" spans="3:3">
      <c r="C1473" s="5"/>
    </row>
    <row r="1474" spans="3:3">
      <c r="C1474" s="5"/>
    </row>
    <row r="1475" spans="3:3">
      <c r="C1475" s="5"/>
    </row>
    <row r="1476" spans="3:3">
      <c r="C1476" s="5"/>
    </row>
    <row r="1477" spans="3:3">
      <c r="C1477" s="5"/>
    </row>
    <row r="1478" spans="3:3">
      <c r="C1478" s="5"/>
    </row>
    <row r="1479" spans="3:3">
      <c r="C1479" s="5"/>
    </row>
    <row r="1480" spans="3:3">
      <c r="C1480" s="5"/>
    </row>
    <row r="1481" spans="3:3">
      <c r="C1481" s="5"/>
    </row>
    <row r="1482" spans="3:3">
      <c r="C1482" s="5"/>
    </row>
    <row r="1483" spans="3:3">
      <c r="C1483" s="5"/>
    </row>
    <row r="1484" spans="3:3">
      <c r="C1484" s="5"/>
    </row>
    <row r="1485" spans="3:3">
      <c r="C1485" s="5"/>
    </row>
    <row r="1486" spans="3:3">
      <c r="C1486" s="5"/>
    </row>
    <row r="1487" spans="3:3">
      <c r="C1487" s="5"/>
    </row>
    <row r="1488" spans="3:3">
      <c r="C1488" s="5"/>
    </row>
    <row r="1489" spans="3:3">
      <c r="C1489" s="5"/>
    </row>
    <row r="1490" spans="3:3">
      <c r="C1490" s="5"/>
    </row>
    <row r="1491" spans="3:3">
      <c r="C1491" s="5"/>
    </row>
    <row r="1492" spans="3:3">
      <c r="C1492" s="5"/>
    </row>
    <row r="1493" spans="3:3">
      <c r="C1493" s="5"/>
    </row>
    <row r="1494" spans="3:3">
      <c r="C1494" s="5"/>
    </row>
    <row r="1495" spans="3:3">
      <c r="C1495" s="5"/>
    </row>
    <row r="1496" spans="3:3">
      <c r="C1496" s="5"/>
    </row>
    <row r="1497" spans="3:3">
      <c r="C1497" s="5"/>
    </row>
    <row r="1498" spans="3:3">
      <c r="C1498" s="5"/>
    </row>
    <row r="1499" spans="3:3">
      <c r="C1499" s="5"/>
    </row>
    <row r="1500" spans="3:3">
      <c r="C1500" s="5"/>
    </row>
    <row r="1501" spans="3:3">
      <c r="C1501" s="5"/>
    </row>
    <row r="1502" spans="3:3">
      <c r="C1502" s="5"/>
    </row>
    <row r="1503" spans="3:3">
      <c r="C1503" s="5"/>
    </row>
    <row r="1504" spans="3:3">
      <c r="C1504" s="5"/>
    </row>
    <row r="1505" spans="3:3">
      <c r="C1505" s="5"/>
    </row>
    <row r="1506" spans="3:3">
      <c r="C1506" s="5"/>
    </row>
    <row r="1507" spans="3:3">
      <c r="C1507" s="5"/>
    </row>
    <row r="1508" spans="3:3">
      <c r="C1508" s="5"/>
    </row>
    <row r="1509" spans="3:3">
      <c r="C1509" s="5"/>
    </row>
    <row r="1510" spans="3:3">
      <c r="C1510" s="5"/>
    </row>
    <row r="1511" spans="3:3">
      <c r="C1511" s="5"/>
    </row>
    <row r="1512" spans="3:3">
      <c r="C1512" s="5"/>
    </row>
    <row r="1513" spans="3:3">
      <c r="C1513" s="5"/>
    </row>
    <row r="1514" spans="3:3">
      <c r="C1514" s="5"/>
    </row>
    <row r="1515" spans="3:3">
      <c r="C1515" s="5"/>
    </row>
    <row r="1516" spans="3:3">
      <c r="C1516" s="5"/>
    </row>
    <row r="1517" spans="3:3">
      <c r="C1517" s="5"/>
    </row>
    <row r="1518" spans="3:3">
      <c r="C1518" s="5"/>
    </row>
    <row r="1519" spans="3:3">
      <c r="C1519" s="5"/>
    </row>
    <row r="1520" spans="3:3">
      <c r="C1520" s="5"/>
    </row>
    <row r="1521" spans="3:3">
      <c r="C1521" s="5"/>
    </row>
    <row r="1522" spans="3:3">
      <c r="C1522" s="5"/>
    </row>
    <row r="1523" spans="3:3">
      <c r="C1523" s="5"/>
    </row>
    <row r="1524" spans="3:3">
      <c r="C1524" s="5"/>
    </row>
    <row r="1525" spans="3:3">
      <c r="C1525" s="5"/>
    </row>
    <row r="1526" spans="3:3">
      <c r="C1526" s="5"/>
    </row>
    <row r="1527" spans="3:3">
      <c r="C1527" s="5"/>
    </row>
    <row r="1528" spans="3:3">
      <c r="C1528" s="5"/>
    </row>
    <row r="1529" spans="3:3">
      <c r="C1529" s="5"/>
    </row>
    <row r="1530" spans="3:3">
      <c r="C1530" s="5"/>
    </row>
    <row r="1531" spans="3:3">
      <c r="C1531" s="5"/>
    </row>
    <row r="1532" spans="3:3">
      <c r="C1532" s="5"/>
    </row>
    <row r="1533" spans="3:3">
      <c r="C1533" s="5"/>
    </row>
    <row r="1534" spans="3:3">
      <c r="C1534" s="5"/>
    </row>
    <row r="1535" spans="3:3">
      <c r="C1535" s="5"/>
    </row>
    <row r="1536" spans="3:3">
      <c r="C1536" s="5"/>
    </row>
    <row r="1537" spans="3:3">
      <c r="C1537" s="5"/>
    </row>
    <row r="1538" spans="3:3">
      <c r="C1538" s="5"/>
    </row>
    <row r="1539" spans="3:3">
      <c r="C1539" s="5"/>
    </row>
    <row r="1540" spans="3:3">
      <c r="C1540" s="5"/>
    </row>
    <row r="1541" spans="3:3">
      <c r="C1541" s="5"/>
    </row>
    <row r="1542" spans="3:3">
      <c r="C1542" s="5"/>
    </row>
    <row r="1543" spans="3:3">
      <c r="C1543" s="5"/>
    </row>
    <row r="1544" spans="3:3">
      <c r="C1544" s="5"/>
    </row>
    <row r="1545" spans="3:3">
      <c r="C1545" s="5"/>
    </row>
    <row r="1546" spans="3:3">
      <c r="C1546" s="5"/>
    </row>
    <row r="1547" spans="3:3">
      <c r="C1547" s="5"/>
    </row>
    <row r="1548" spans="3:3">
      <c r="C1548" s="5"/>
    </row>
    <row r="1549" spans="3:3">
      <c r="C1549" s="5"/>
    </row>
    <row r="1550" spans="3:3">
      <c r="C1550" s="5"/>
    </row>
    <row r="1551" spans="3:3">
      <c r="C1551" s="5"/>
    </row>
    <row r="1552" spans="3:3">
      <c r="C1552" s="5"/>
    </row>
    <row r="1553" spans="3:3">
      <c r="C1553" s="5"/>
    </row>
    <row r="1554" spans="3:3">
      <c r="C1554" s="5"/>
    </row>
    <row r="1555" spans="3:3">
      <c r="C1555" s="5"/>
    </row>
    <row r="1556" spans="3:3">
      <c r="C1556" s="5"/>
    </row>
    <row r="1557" spans="3:3">
      <c r="C1557" s="5"/>
    </row>
    <row r="1558" spans="3:3">
      <c r="C1558" s="5"/>
    </row>
    <row r="1559" spans="3:3">
      <c r="C1559" s="5"/>
    </row>
    <row r="1560" spans="3:3">
      <c r="C1560" s="5"/>
    </row>
    <row r="1561" spans="3:3">
      <c r="C1561" s="5"/>
    </row>
    <row r="1562" spans="3:3">
      <c r="C1562" s="5"/>
    </row>
    <row r="1563" spans="3:3">
      <c r="C1563" s="5"/>
    </row>
    <row r="1564" spans="3:3">
      <c r="C1564" s="5"/>
    </row>
    <row r="1565" spans="3:3">
      <c r="C1565" s="5"/>
    </row>
    <row r="1566" spans="3:3">
      <c r="C1566" s="5"/>
    </row>
    <row r="1567" spans="3:3">
      <c r="C1567" s="5"/>
    </row>
    <row r="1568" spans="3:3">
      <c r="C1568" s="5"/>
    </row>
    <row r="1569" spans="3:3">
      <c r="C1569" s="5"/>
    </row>
    <row r="1570" spans="3:3">
      <c r="C1570" s="5"/>
    </row>
    <row r="1571" spans="3:3">
      <c r="C1571" s="5"/>
    </row>
    <row r="1572" spans="3:3">
      <c r="C1572" s="5"/>
    </row>
    <row r="1573" spans="3:3">
      <c r="C1573" s="5"/>
    </row>
    <row r="1574" spans="3:3">
      <c r="C1574" s="5"/>
    </row>
    <row r="1575" spans="3:3">
      <c r="C1575" s="5"/>
    </row>
    <row r="1576" spans="3:3">
      <c r="C1576" s="5"/>
    </row>
    <row r="1577" spans="3:3">
      <c r="C1577" s="5"/>
    </row>
    <row r="1578" spans="3:3">
      <c r="C1578" s="5"/>
    </row>
    <row r="1579" spans="3:3">
      <c r="C1579" s="5"/>
    </row>
    <row r="1580" spans="3:3">
      <c r="C1580" s="5"/>
    </row>
    <row r="1581" spans="3:3">
      <c r="C1581" s="5"/>
    </row>
    <row r="1582" spans="3:3">
      <c r="C1582" s="5"/>
    </row>
    <row r="1583" spans="3:3">
      <c r="C1583" s="5"/>
    </row>
    <row r="1584" spans="3:3">
      <c r="C1584" s="5"/>
    </row>
    <row r="1585" spans="3:3">
      <c r="C1585" s="5"/>
    </row>
    <row r="1586" spans="3:3">
      <c r="C1586" s="5"/>
    </row>
    <row r="1587" spans="3:3">
      <c r="C1587" s="5"/>
    </row>
    <row r="1588" spans="3:3">
      <c r="C1588" s="5"/>
    </row>
    <row r="1589" spans="3:3">
      <c r="C1589" s="5"/>
    </row>
    <row r="1590" spans="3:3">
      <c r="C1590" s="5"/>
    </row>
    <row r="1591" spans="3:3">
      <c r="C1591" s="5"/>
    </row>
    <row r="1592" spans="3:3">
      <c r="C1592" s="5"/>
    </row>
    <row r="1593" spans="3:3">
      <c r="C1593" s="5"/>
    </row>
    <row r="1594" spans="3:3">
      <c r="C1594" s="5"/>
    </row>
    <row r="1595" spans="3:3">
      <c r="C1595" s="5"/>
    </row>
    <row r="1596" spans="3:3">
      <c r="C1596" s="5"/>
    </row>
    <row r="1597" spans="3:3">
      <c r="C1597" s="5"/>
    </row>
    <row r="1598" spans="3:3">
      <c r="C1598" s="5"/>
    </row>
    <row r="1599" spans="3:3">
      <c r="C1599" s="5"/>
    </row>
    <row r="1600" spans="3:3">
      <c r="C1600" s="5"/>
    </row>
    <row r="1601" spans="3:3">
      <c r="C1601" s="5"/>
    </row>
    <row r="1602" spans="3:3">
      <c r="C1602" s="5"/>
    </row>
    <row r="1603" spans="3:3">
      <c r="C1603" s="5"/>
    </row>
    <row r="1604" spans="3:3">
      <c r="C1604" s="5"/>
    </row>
    <row r="1605" spans="3:3">
      <c r="C1605" s="5"/>
    </row>
    <row r="1606" spans="3:3">
      <c r="C1606" s="5"/>
    </row>
    <row r="1607" spans="3:3">
      <c r="C1607" s="5"/>
    </row>
    <row r="1608" spans="3:3">
      <c r="C1608" s="5"/>
    </row>
    <row r="1609" spans="3:3">
      <c r="C1609" s="5"/>
    </row>
    <row r="1610" spans="3:3">
      <c r="C1610" s="5"/>
    </row>
    <row r="1611" spans="3:3">
      <c r="C1611" s="5"/>
    </row>
    <row r="1612" spans="3:3">
      <c r="C1612" s="5"/>
    </row>
    <row r="1613" spans="3:3">
      <c r="C1613" s="5"/>
    </row>
    <row r="1614" spans="3:3">
      <c r="C1614" s="5"/>
    </row>
    <row r="1615" spans="3:3">
      <c r="C1615" s="5"/>
    </row>
    <row r="1616" spans="3:3">
      <c r="C1616" s="5"/>
    </row>
    <row r="1617" spans="3:3">
      <c r="C1617" s="5"/>
    </row>
    <row r="1618" spans="3:3">
      <c r="C1618" s="5"/>
    </row>
    <row r="1619" spans="3:3">
      <c r="C1619" s="5"/>
    </row>
    <row r="1620" spans="3:3">
      <c r="C1620" s="5"/>
    </row>
    <row r="1621" spans="3:3">
      <c r="C1621" s="5"/>
    </row>
    <row r="1622" spans="3:3">
      <c r="C1622" s="5"/>
    </row>
    <row r="1623" spans="3:3">
      <c r="C1623" s="5"/>
    </row>
    <row r="1624" spans="3:3">
      <c r="C1624" s="5"/>
    </row>
    <row r="1625" spans="3:3">
      <c r="C1625" s="5"/>
    </row>
    <row r="1626" spans="3:3">
      <c r="C1626" s="5"/>
    </row>
    <row r="1627" spans="3:3">
      <c r="C1627" s="5"/>
    </row>
    <row r="1628" spans="3:3">
      <c r="C1628" s="5"/>
    </row>
    <row r="1629" spans="3:3">
      <c r="C1629" s="5"/>
    </row>
    <row r="1630" spans="3:3">
      <c r="C1630" s="5"/>
    </row>
    <row r="1631" spans="3:3">
      <c r="C1631" s="5"/>
    </row>
    <row r="1632" spans="3:3">
      <c r="C1632" s="5"/>
    </row>
    <row r="1633" spans="3:3">
      <c r="C1633" s="5"/>
    </row>
    <row r="1634" spans="3:3">
      <c r="C1634" s="5"/>
    </row>
    <row r="1635" spans="3:3">
      <c r="C1635" s="5"/>
    </row>
    <row r="1636" spans="3:3">
      <c r="C1636" s="5"/>
    </row>
    <row r="1637" spans="3:3">
      <c r="C1637" s="5"/>
    </row>
    <row r="1638" spans="3:3">
      <c r="C1638" s="5"/>
    </row>
    <row r="1639" spans="3:3">
      <c r="C1639" s="5"/>
    </row>
    <row r="1640" spans="3:3">
      <c r="C1640" s="5"/>
    </row>
    <row r="1641" spans="3:3">
      <c r="C1641" s="5"/>
    </row>
    <row r="1642" spans="3:3">
      <c r="C1642" s="5"/>
    </row>
    <row r="1643" spans="3:3">
      <c r="C1643" s="5"/>
    </row>
    <row r="1644" spans="3:3">
      <c r="C1644" s="5"/>
    </row>
    <row r="1645" spans="3:3">
      <c r="C1645" s="5"/>
    </row>
    <row r="1646" spans="3:3">
      <c r="C1646" s="5"/>
    </row>
    <row r="1647" spans="3:3">
      <c r="C1647" s="5"/>
    </row>
    <row r="1648" spans="3:3">
      <c r="C1648" s="5"/>
    </row>
    <row r="1649" spans="3:3">
      <c r="C1649" s="5"/>
    </row>
    <row r="1650" spans="3:3">
      <c r="C1650" s="5"/>
    </row>
    <row r="1651" spans="3:3">
      <c r="C1651" s="5"/>
    </row>
    <row r="1652" spans="3:3">
      <c r="C1652" s="5"/>
    </row>
    <row r="1653" spans="3:3">
      <c r="C1653" s="5"/>
    </row>
    <row r="1654" spans="3:3">
      <c r="C1654" s="5"/>
    </row>
    <row r="1655" spans="3:3">
      <c r="C1655" s="5"/>
    </row>
    <row r="1656" spans="3:3">
      <c r="C1656" s="5"/>
    </row>
    <row r="1657" spans="3:3">
      <c r="C1657" s="5"/>
    </row>
    <row r="1658" spans="3:3">
      <c r="C1658" s="5"/>
    </row>
    <row r="1659" spans="3:3">
      <c r="C1659" s="5"/>
    </row>
    <row r="1660" spans="3:3">
      <c r="C1660" s="5"/>
    </row>
    <row r="1661" spans="3:3">
      <c r="C1661" s="5"/>
    </row>
    <row r="1662" spans="3:3">
      <c r="C1662" s="5"/>
    </row>
    <row r="1663" spans="3:3">
      <c r="C1663" s="5"/>
    </row>
    <row r="1664" spans="3:3">
      <c r="C1664" s="5"/>
    </row>
    <row r="1665" spans="3:3">
      <c r="C1665" s="5"/>
    </row>
    <row r="1666" spans="3:3">
      <c r="C1666" s="5"/>
    </row>
    <row r="1667" spans="3:3">
      <c r="C1667" s="5"/>
    </row>
    <row r="1668" spans="3:3">
      <c r="C1668" s="5"/>
    </row>
    <row r="1669" spans="3:3">
      <c r="C1669" s="5"/>
    </row>
    <row r="1670" spans="3:3">
      <c r="C1670" s="5"/>
    </row>
    <row r="1671" spans="3:3">
      <c r="C1671" s="5"/>
    </row>
    <row r="1672" spans="3:3">
      <c r="C1672" s="5"/>
    </row>
  </sheetData>
  <phoneticPr fontId="0" type="noConversion"/>
  <pageMargins left="0.25" right="0.25" top="1" bottom="0.75" header="0.5" footer="0.5"/>
  <pageSetup scale="73" fitToHeight="2" orientation="landscape" r:id="rId1"/>
  <headerFooter alignWithMargins="0">
    <oddHeader>&amp;C&amp;"Arial,Bold"&amp;22Occupancy Tax Receipts
Fiscal Year 2004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Q74"/>
  <sheetViews>
    <sheetView topLeftCell="A55" workbookViewId="0">
      <selection activeCell="B68" sqref="B68"/>
    </sheetView>
  </sheetViews>
  <sheetFormatPr defaultColWidth="9.08984375" defaultRowHeight="10"/>
  <cols>
    <col min="1" max="1" width="7.6328125" style="1" bestFit="1" customWidth="1"/>
    <col min="2" max="2" width="26.36328125" style="1" customWidth="1"/>
    <col min="3" max="3" width="13.08984375" style="1" bestFit="1" customWidth="1"/>
    <col min="4" max="5" width="11.36328125" style="1" bestFit="1" customWidth="1"/>
    <col min="6" max="7" width="12.36328125" style="1" bestFit="1" customWidth="1"/>
    <col min="8" max="14" width="11.36328125" style="1" bestFit="1" customWidth="1"/>
    <col min="15" max="15" width="12" style="1" bestFit="1" customWidth="1"/>
    <col min="16" max="16" width="0" style="1" hidden="1" customWidth="1"/>
    <col min="17" max="17" width="10.6328125" style="1" bestFit="1" customWidth="1"/>
    <col min="18" max="16384" width="9.08984375" style="1"/>
  </cols>
  <sheetData>
    <row r="1" spans="1:17" s="17" customFormat="1" ht="21">
      <c r="A1" s="14" t="s">
        <v>82</v>
      </c>
      <c r="B1" s="15" t="s">
        <v>0</v>
      </c>
      <c r="C1" s="16" t="s">
        <v>167</v>
      </c>
      <c r="D1" s="16" t="s">
        <v>186</v>
      </c>
      <c r="E1" s="16" t="s">
        <v>187</v>
      </c>
      <c r="F1" s="16" t="s">
        <v>188</v>
      </c>
      <c r="G1" s="16" t="s">
        <v>189</v>
      </c>
      <c r="H1" s="16" t="s">
        <v>190</v>
      </c>
      <c r="I1" s="18" t="s">
        <v>180</v>
      </c>
      <c r="J1" s="18" t="s">
        <v>181</v>
      </c>
      <c r="K1" s="19" t="s">
        <v>182</v>
      </c>
      <c r="L1" s="18" t="s">
        <v>183</v>
      </c>
      <c r="M1" s="18" t="s">
        <v>184</v>
      </c>
      <c r="N1" s="18" t="s">
        <v>185</v>
      </c>
      <c r="O1" s="26" t="s">
        <v>143</v>
      </c>
      <c r="P1" s="26"/>
      <c r="Q1" s="26" t="s">
        <v>142</v>
      </c>
    </row>
    <row r="2" spans="1:17">
      <c r="A2" s="4">
        <v>70000</v>
      </c>
      <c r="B2" s="1" t="s">
        <v>4</v>
      </c>
      <c r="C2" s="31">
        <v>1020.52</v>
      </c>
      <c r="D2" s="31">
        <v>929.48</v>
      </c>
      <c r="E2" s="31">
        <v>918.64</v>
      </c>
      <c r="F2" s="31">
        <v>1009.84</v>
      </c>
      <c r="G2" s="31">
        <v>772</v>
      </c>
      <c r="H2" s="31">
        <v>663.55</v>
      </c>
      <c r="I2" s="31">
        <v>758.92</v>
      </c>
      <c r="J2" s="31">
        <v>566.52</v>
      </c>
      <c r="K2" s="31">
        <v>634.91999999999996</v>
      </c>
      <c r="L2" s="31">
        <v>923.5</v>
      </c>
      <c r="M2" s="31">
        <v>810.13</v>
      </c>
      <c r="N2" s="31">
        <v>692.44</v>
      </c>
      <c r="O2" s="8">
        <f>+SUM(C2:N2)</f>
        <v>9700.4599999999991</v>
      </c>
      <c r="P2" s="1">
        <f>+COUNT(C2:N2)</f>
        <v>12</v>
      </c>
      <c r="Q2" s="31">
        <f>+O2/P2</f>
        <v>808.37166666666656</v>
      </c>
    </row>
    <row r="3" spans="1:17">
      <c r="A3" s="4">
        <v>70001</v>
      </c>
      <c r="B3" s="1" t="s">
        <v>92</v>
      </c>
      <c r="C3" s="31">
        <v>20885.47</v>
      </c>
      <c r="D3" s="31">
        <v>12015.42</v>
      </c>
      <c r="E3" s="31">
        <v>14235.42</v>
      </c>
      <c r="F3" s="31">
        <v>25241.94</v>
      </c>
      <c r="G3" s="31">
        <v>13002.66</v>
      </c>
      <c r="H3" s="31">
        <v>7258.44</v>
      </c>
      <c r="I3" s="31">
        <v>7212.54</v>
      </c>
      <c r="J3" s="31">
        <v>11029.8</v>
      </c>
      <c r="K3" s="31">
        <v>12311.14</v>
      </c>
      <c r="L3" s="31">
        <v>25392.560000000001</v>
      </c>
      <c r="M3" s="31">
        <v>18561.48</v>
      </c>
      <c r="N3" s="31">
        <v>25636.65</v>
      </c>
      <c r="O3" s="8">
        <f t="shared" ref="O3:O66" si="0">+SUM(C3:N3)</f>
        <v>192783.52000000002</v>
      </c>
      <c r="P3" s="1">
        <f t="shared" ref="P3:P66" si="1">+COUNT(C3:N3)</f>
        <v>12</v>
      </c>
      <c r="Q3" s="31">
        <f t="shared" ref="Q3:Q66" si="2">+O3/P3</f>
        <v>16065.293333333335</v>
      </c>
    </row>
    <row r="4" spans="1:17">
      <c r="A4" s="4">
        <v>70002</v>
      </c>
      <c r="B4" s="1" t="s">
        <v>6</v>
      </c>
      <c r="C4" s="31">
        <v>2997.17</v>
      </c>
      <c r="D4" s="31">
        <v>2736.3</v>
      </c>
      <c r="E4" s="31">
        <v>2375.3000000000002</v>
      </c>
      <c r="F4" s="31">
        <v>3162.11</v>
      </c>
      <c r="G4" s="31">
        <v>2807.35</v>
      </c>
      <c r="H4" s="31">
        <v>2392.6</v>
      </c>
      <c r="I4" s="31">
        <v>1963.09</v>
      </c>
      <c r="J4" s="31">
        <v>2200.66</v>
      </c>
      <c r="K4" s="31">
        <v>2445.62</v>
      </c>
      <c r="L4" s="31">
        <v>2543.8000000000002</v>
      </c>
      <c r="M4" s="31">
        <v>2439.37</v>
      </c>
      <c r="N4" s="31">
        <v>2573.79</v>
      </c>
      <c r="O4" s="8">
        <f t="shared" si="0"/>
        <v>30637.16</v>
      </c>
      <c r="P4" s="1">
        <f t="shared" si="1"/>
        <v>12</v>
      </c>
      <c r="Q4" s="31">
        <f t="shared" si="2"/>
        <v>2553.0966666666668</v>
      </c>
    </row>
    <row r="5" spans="1:17">
      <c r="A5" s="4">
        <v>70003</v>
      </c>
      <c r="B5" s="1" t="s">
        <v>7</v>
      </c>
      <c r="C5" s="31">
        <v>1445.68</v>
      </c>
      <c r="D5" s="31">
        <v>1494.72</v>
      </c>
      <c r="E5" s="31">
        <v>1454.86</v>
      </c>
      <c r="F5" s="31">
        <v>1358.7</v>
      </c>
      <c r="G5" s="31">
        <v>1228.95</v>
      </c>
      <c r="H5" s="31">
        <v>1136.83</v>
      </c>
      <c r="I5" s="31">
        <v>1034.1099999999999</v>
      </c>
      <c r="J5" s="31">
        <v>956.81</v>
      </c>
      <c r="K5" s="31">
        <v>982.47</v>
      </c>
      <c r="L5" s="31">
        <v>1120.9100000000001</v>
      </c>
      <c r="M5" s="31">
        <v>1327.34</v>
      </c>
      <c r="N5" s="31">
        <v>1219.97</v>
      </c>
      <c r="O5" s="8">
        <f t="shared" si="0"/>
        <v>14761.349999999999</v>
      </c>
      <c r="P5" s="1">
        <f t="shared" si="1"/>
        <v>12</v>
      </c>
      <c r="Q5" s="31">
        <f t="shared" si="2"/>
        <v>1230.1125</v>
      </c>
    </row>
    <row r="6" spans="1:17">
      <c r="A6" s="4">
        <v>70004</v>
      </c>
      <c r="B6" s="1" t="s">
        <v>8</v>
      </c>
      <c r="C6" s="31">
        <v>6410.96</v>
      </c>
      <c r="D6" s="31">
        <v>4345.2</v>
      </c>
      <c r="E6" s="31">
        <v>4127.43</v>
      </c>
      <c r="F6" s="31">
        <v>6227.04</v>
      </c>
      <c r="G6" s="31">
        <v>3141.37</v>
      </c>
      <c r="H6" s="31"/>
      <c r="J6" s="31">
        <v>4349.8100000000004</v>
      </c>
      <c r="K6" s="31">
        <v>5155.3900000000003</v>
      </c>
      <c r="N6" s="31">
        <v>4402.8900000000003</v>
      </c>
      <c r="O6" s="8">
        <f t="shared" si="0"/>
        <v>38160.090000000004</v>
      </c>
      <c r="P6" s="1">
        <f t="shared" si="1"/>
        <v>8</v>
      </c>
      <c r="Q6" s="31">
        <f t="shared" si="2"/>
        <v>4770.0112500000005</v>
      </c>
    </row>
    <row r="7" spans="1:17">
      <c r="A7" s="4">
        <v>70006</v>
      </c>
      <c r="B7" s="1" t="s">
        <v>9</v>
      </c>
      <c r="C7" s="31">
        <v>3215.94</v>
      </c>
      <c r="D7" s="31">
        <v>2908.24</v>
      </c>
      <c r="E7" s="31">
        <v>2303.13</v>
      </c>
      <c r="F7" s="31">
        <v>2825.02</v>
      </c>
      <c r="G7" s="31">
        <v>1818.22</v>
      </c>
      <c r="H7" s="31">
        <v>1789.22</v>
      </c>
      <c r="I7" s="31">
        <v>1495.83</v>
      </c>
      <c r="J7" s="31">
        <v>1477.68</v>
      </c>
      <c r="K7" s="31">
        <v>2232.0300000000002</v>
      </c>
      <c r="L7" s="31">
        <v>2914.85</v>
      </c>
      <c r="M7" s="31">
        <v>2584.7399999999998</v>
      </c>
      <c r="N7" s="31">
        <v>2766.71</v>
      </c>
      <c r="O7" s="8">
        <f t="shared" si="0"/>
        <v>28331.609999999993</v>
      </c>
      <c r="P7" s="1">
        <f t="shared" si="1"/>
        <v>12</v>
      </c>
      <c r="Q7" s="31">
        <f t="shared" si="2"/>
        <v>2360.9674999999993</v>
      </c>
    </row>
    <row r="8" spans="1:17">
      <c r="A8" s="4">
        <v>70007</v>
      </c>
      <c r="B8" s="1" t="s">
        <v>10</v>
      </c>
      <c r="C8" s="31">
        <v>271.5</v>
      </c>
      <c r="D8" s="31">
        <v>285</v>
      </c>
      <c r="E8" s="31">
        <v>288</v>
      </c>
      <c r="F8" s="31">
        <v>273</v>
      </c>
      <c r="G8" s="31">
        <v>246</v>
      </c>
      <c r="H8" s="31">
        <v>225</v>
      </c>
      <c r="I8" s="31">
        <v>213</v>
      </c>
      <c r="J8" s="31">
        <v>207</v>
      </c>
      <c r="K8" s="31">
        <v>225</v>
      </c>
      <c r="L8" s="31">
        <v>235.5</v>
      </c>
      <c r="M8" s="31">
        <v>252</v>
      </c>
      <c r="N8" s="31">
        <v>259.5</v>
      </c>
      <c r="O8" s="8">
        <f t="shared" si="0"/>
        <v>2980.5</v>
      </c>
      <c r="P8" s="1">
        <f t="shared" si="1"/>
        <v>12</v>
      </c>
      <c r="Q8" s="31">
        <f t="shared" si="2"/>
        <v>248.375</v>
      </c>
    </row>
    <row r="9" spans="1:17">
      <c r="A9" s="4">
        <v>70008</v>
      </c>
      <c r="B9" s="1" t="s">
        <v>11</v>
      </c>
      <c r="C9" s="31">
        <v>2114.94</v>
      </c>
      <c r="D9" s="31">
        <v>1960.72</v>
      </c>
      <c r="E9" s="31">
        <v>1430.1</v>
      </c>
      <c r="F9" s="31">
        <v>2217.66</v>
      </c>
      <c r="G9" s="31">
        <v>1590.96</v>
      </c>
      <c r="H9" s="31">
        <v>1220.55</v>
      </c>
      <c r="I9" s="31">
        <v>1145.25</v>
      </c>
      <c r="J9" s="31">
        <v>1328.99</v>
      </c>
      <c r="K9" s="31">
        <v>1974.97</v>
      </c>
      <c r="L9" s="31">
        <v>2572</v>
      </c>
      <c r="M9" s="31">
        <v>2390.0500000000002</v>
      </c>
      <c r="N9" s="31">
        <v>2439.96</v>
      </c>
      <c r="O9" s="8">
        <f t="shared" si="0"/>
        <v>22386.149999999998</v>
      </c>
      <c r="P9" s="1">
        <f t="shared" si="1"/>
        <v>12</v>
      </c>
      <c r="Q9" s="31">
        <f t="shared" si="2"/>
        <v>1865.5124999999998</v>
      </c>
    </row>
    <row r="10" spans="1:17">
      <c r="A10" s="4" t="s">
        <v>12</v>
      </c>
      <c r="B10" s="1" t="s">
        <v>13</v>
      </c>
      <c r="C10" s="31">
        <v>4129.9799999999996</v>
      </c>
      <c r="D10" s="31">
        <v>3480</v>
      </c>
      <c r="E10" s="31">
        <v>4754.1000000000004</v>
      </c>
      <c r="F10" s="31">
        <v>6125.47</v>
      </c>
      <c r="G10" s="31">
        <v>3964.73</v>
      </c>
      <c r="H10" s="31">
        <v>2400.9299999999998</v>
      </c>
      <c r="I10" s="31">
        <v>2827.59</v>
      </c>
      <c r="J10" s="31">
        <v>2651.04</v>
      </c>
      <c r="K10" s="31">
        <v>4089.28</v>
      </c>
      <c r="L10" s="31">
        <v>6357.93</v>
      </c>
      <c r="M10" s="31">
        <v>5758.77</v>
      </c>
      <c r="N10" s="31">
        <v>4680.03</v>
      </c>
      <c r="O10" s="8">
        <f t="shared" si="0"/>
        <v>51219.850000000006</v>
      </c>
      <c r="P10" s="1">
        <f t="shared" si="1"/>
        <v>12</v>
      </c>
      <c r="Q10" s="31">
        <f t="shared" si="2"/>
        <v>4268.3208333333341</v>
      </c>
    </row>
    <row r="11" spans="1:17">
      <c r="A11" s="4">
        <v>70014</v>
      </c>
      <c r="B11" s="1" t="s">
        <v>14</v>
      </c>
      <c r="C11" s="31">
        <v>15442.33</v>
      </c>
      <c r="D11" s="31">
        <v>14137.79</v>
      </c>
      <c r="E11" s="31">
        <v>13354.05</v>
      </c>
      <c r="F11" s="31">
        <v>16328.51</v>
      </c>
      <c r="G11" s="31">
        <v>11608.07</v>
      </c>
      <c r="H11" s="31">
        <v>9189.82</v>
      </c>
      <c r="I11" s="1">
        <v>9070.74</v>
      </c>
      <c r="J11" s="31">
        <v>8398.9</v>
      </c>
      <c r="K11" s="31">
        <v>12480.17</v>
      </c>
      <c r="L11" s="31">
        <v>16567.59</v>
      </c>
      <c r="M11" s="31">
        <v>12233.53</v>
      </c>
      <c r="N11" s="31">
        <v>14078.96</v>
      </c>
      <c r="O11" s="8">
        <f t="shared" si="0"/>
        <v>152890.46</v>
      </c>
      <c r="P11" s="1">
        <f t="shared" si="1"/>
        <v>12</v>
      </c>
      <c r="Q11" s="31">
        <f t="shared" si="2"/>
        <v>12740.871666666666</v>
      </c>
    </row>
    <row r="12" spans="1:17">
      <c r="A12" s="4" t="s">
        <v>73</v>
      </c>
      <c r="B12" s="1" t="s">
        <v>63</v>
      </c>
      <c r="C12" s="31">
        <v>10731.99</v>
      </c>
      <c r="D12" s="31">
        <v>5671.02</v>
      </c>
      <c r="E12" s="31">
        <v>5978.71</v>
      </c>
      <c r="F12" s="31">
        <v>8685.06</v>
      </c>
      <c r="G12" s="31">
        <v>4990.2</v>
      </c>
      <c r="H12" s="31">
        <v>4784.04</v>
      </c>
      <c r="I12" s="31">
        <v>3916.77</v>
      </c>
      <c r="J12" s="31">
        <v>4177.75</v>
      </c>
      <c r="K12" s="31">
        <v>7856.04</v>
      </c>
      <c r="L12" s="31">
        <v>9823.65</v>
      </c>
      <c r="M12" s="31">
        <v>8931.67</v>
      </c>
      <c r="N12" s="31">
        <v>8657.11</v>
      </c>
      <c r="O12" s="8">
        <f t="shared" si="0"/>
        <v>84204.01</v>
      </c>
      <c r="P12" s="1">
        <f t="shared" si="1"/>
        <v>12</v>
      </c>
      <c r="Q12" s="31">
        <f t="shared" si="2"/>
        <v>7017.0008333333326</v>
      </c>
    </row>
    <row r="13" spans="1:17">
      <c r="A13" s="4" t="s">
        <v>75</v>
      </c>
      <c r="B13" s="1" t="s">
        <v>74</v>
      </c>
      <c r="C13" s="31">
        <v>16041.42</v>
      </c>
      <c r="D13" s="31">
        <v>13820.58</v>
      </c>
      <c r="E13" s="31">
        <v>14464.8</v>
      </c>
      <c r="F13" s="31">
        <v>15818.04</v>
      </c>
      <c r="G13" s="31">
        <v>6038.52</v>
      </c>
      <c r="H13" s="31">
        <v>8763.02</v>
      </c>
      <c r="I13" s="31">
        <v>5821.2</v>
      </c>
      <c r="J13" s="31">
        <v>7249.09</v>
      </c>
      <c r="K13" s="31">
        <v>9759.31</v>
      </c>
      <c r="L13" s="31">
        <v>15169.31</v>
      </c>
      <c r="M13" s="31">
        <v>17377.86</v>
      </c>
      <c r="N13" s="31">
        <v>13349.05</v>
      </c>
      <c r="O13" s="8">
        <f t="shared" si="0"/>
        <v>143672.19999999998</v>
      </c>
      <c r="P13" s="1">
        <f t="shared" si="1"/>
        <v>12</v>
      </c>
      <c r="Q13" s="31">
        <f t="shared" si="2"/>
        <v>11972.683333333332</v>
      </c>
    </row>
    <row r="14" spans="1:17">
      <c r="A14" s="4">
        <v>70017</v>
      </c>
      <c r="B14" s="1" t="s">
        <v>15</v>
      </c>
      <c r="C14" s="31">
        <v>28977.59</v>
      </c>
      <c r="D14" s="31">
        <v>25681.3</v>
      </c>
      <c r="E14" s="31">
        <v>29849.77</v>
      </c>
      <c r="F14" s="31">
        <v>31841.93</v>
      </c>
      <c r="G14" s="31">
        <v>25689.63</v>
      </c>
      <c r="H14" s="31">
        <v>22261.58</v>
      </c>
      <c r="I14" s="31">
        <v>19278.91</v>
      </c>
      <c r="J14" s="31">
        <v>21527.29</v>
      </c>
      <c r="K14" s="31">
        <v>24972.68</v>
      </c>
      <c r="L14" s="31">
        <v>32282.41</v>
      </c>
      <c r="M14" s="31">
        <v>29549.71</v>
      </c>
      <c r="N14" s="31">
        <v>28238.42</v>
      </c>
      <c r="O14" s="8">
        <f t="shared" si="0"/>
        <v>320151.21999999997</v>
      </c>
      <c r="P14" s="1">
        <f t="shared" si="1"/>
        <v>12</v>
      </c>
      <c r="Q14" s="31">
        <f t="shared" si="2"/>
        <v>26679.26833333333</v>
      </c>
    </row>
    <row r="15" spans="1:17">
      <c r="A15" s="4">
        <v>70018</v>
      </c>
      <c r="B15" s="1" t="s">
        <v>16</v>
      </c>
      <c r="C15" s="31">
        <v>34648.03</v>
      </c>
      <c r="D15" s="31">
        <v>26633.439999999999</v>
      </c>
      <c r="E15" s="31">
        <v>27369.81</v>
      </c>
      <c r="F15" s="31">
        <v>34353.199999999997</v>
      </c>
      <c r="G15" s="31">
        <v>22571.15</v>
      </c>
      <c r="H15" s="31">
        <v>16153</v>
      </c>
      <c r="I15" s="31">
        <v>16724.96</v>
      </c>
      <c r="J15" s="31">
        <v>18589.2</v>
      </c>
      <c r="K15" s="31">
        <v>26430.240000000002</v>
      </c>
      <c r="L15" s="31">
        <v>32808.44</v>
      </c>
      <c r="M15" s="31">
        <v>36317.449999999997</v>
      </c>
      <c r="N15" s="31">
        <v>35537.379999999997</v>
      </c>
      <c r="O15" s="8">
        <f t="shared" si="0"/>
        <v>328136.3</v>
      </c>
      <c r="P15" s="1">
        <f t="shared" si="1"/>
        <v>12</v>
      </c>
      <c r="Q15" s="31">
        <f t="shared" si="2"/>
        <v>27344.691666666666</v>
      </c>
    </row>
    <row r="16" spans="1:17">
      <c r="A16" s="4">
        <v>70019</v>
      </c>
      <c r="B16" s="1" t="s">
        <v>17</v>
      </c>
      <c r="C16" s="31">
        <v>14356.08</v>
      </c>
      <c r="D16" s="31">
        <v>9044.17</v>
      </c>
      <c r="E16" s="31">
        <v>9028.01</v>
      </c>
      <c r="F16" s="31">
        <v>12128.99</v>
      </c>
      <c r="G16" s="31">
        <v>8006.82</v>
      </c>
      <c r="H16" s="31">
        <v>6253.83</v>
      </c>
      <c r="I16" s="31">
        <v>5288.89</v>
      </c>
      <c r="J16" s="31">
        <v>6928.35</v>
      </c>
      <c r="K16" s="31">
        <v>10159.129999999999</v>
      </c>
      <c r="L16" s="31">
        <v>13868.53</v>
      </c>
      <c r="M16" s="31">
        <v>10390.959999999999</v>
      </c>
      <c r="N16" s="31">
        <v>10630.13</v>
      </c>
      <c r="O16" s="8">
        <f t="shared" si="0"/>
        <v>116083.89000000001</v>
      </c>
      <c r="P16" s="1">
        <f t="shared" si="1"/>
        <v>12</v>
      </c>
      <c r="Q16" s="31">
        <f t="shared" si="2"/>
        <v>9673.6575000000012</v>
      </c>
    </row>
    <row r="17" spans="1:17">
      <c r="A17" s="4">
        <v>70020</v>
      </c>
      <c r="B17" s="1" t="s">
        <v>18</v>
      </c>
      <c r="C17" s="31">
        <v>41878.93</v>
      </c>
      <c r="D17" s="31">
        <v>6219.36</v>
      </c>
      <c r="E17" s="31">
        <v>6113.88</v>
      </c>
      <c r="F17" s="31">
        <v>7411.08</v>
      </c>
      <c r="G17" s="31">
        <v>5601.72</v>
      </c>
      <c r="H17" s="31">
        <v>6372.83</v>
      </c>
      <c r="I17" s="31">
        <v>4283.05</v>
      </c>
      <c r="J17" s="31">
        <v>4225.43</v>
      </c>
      <c r="K17" s="31">
        <v>5976.01</v>
      </c>
      <c r="L17" s="31">
        <v>6595.57</v>
      </c>
      <c r="M17" s="31">
        <v>6051.86</v>
      </c>
      <c r="N17" s="31">
        <v>7645.11</v>
      </c>
      <c r="O17" s="8">
        <f t="shared" si="0"/>
        <v>108374.82999999999</v>
      </c>
      <c r="P17" s="1">
        <f t="shared" si="1"/>
        <v>12</v>
      </c>
      <c r="Q17" s="31">
        <f t="shared" si="2"/>
        <v>9031.2358333333323</v>
      </c>
    </row>
    <row r="18" spans="1:17">
      <c r="A18" s="4">
        <v>70021</v>
      </c>
      <c r="B18" s="1" t="s">
        <v>60</v>
      </c>
      <c r="C18" s="31">
        <v>33166.44</v>
      </c>
      <c r="D18" s="31">
        <v>28581.48</v>
      </c>
      <c r="E18" s="31">
        <v>31490.400000000001</v>
      </c>
      <c r="F18" s="31">
        <v>48065.64</v>
      </c>
      <c r="G18" s="31">
        <v>31649.759999999998</v>
      </c>
      <c r="H18" s="31">
        <v>32191.08</v>
      </c>
      <c r="I18" s="31">
        <v>24606.12</v>
      </c>
      <c r="J18" s="31">
        <v>26009.82</v>
      </c>
      <c r="K18" s="31">
        <v>39120.18</v>
      </c>
      <c r="L18" s="31">
        <v>46662.9</v>
      </c>
      <c r="M18" s="31">
        <v>46659.12</v>
      </c>
      <c r="N18" s="31">
        <v>42035.7</v>
      </c>
      <c r="O18" s="8">
        <f t="shared" si="0"/>
        <v>430238.64000000007</v>
      </c>
      <c r="P18" s="1">
        <f t="shared" si="1"/>
        <v>12</v>
      </c>
      <c r="Q18" s="31">
        <f t="shared" si="2"/>
        <v>35853.220000000008</v>
      </c>
    </row>
    <row r="19" spans="1:17">
      <c r="A19" s="4">
        <v>70022</v>
      </c>
      <c r="B19" s="1" t="s">
        <v>19</v>
      </c>
      <c r="C19" s="31">
        <v>1667.81</v>
      </c>
      <c r="D19" s="31">
        <v>1619.45</v>
      </c>
      <c r="E19" s="31">
        <v>1950.47</v>
      </c>
      <c r="F19" s="31">
        <v>2094.75</v>
      </c>
      <c r="G19" s="31">
        <v>1197.83</v>
      </c>
      <c r="H19" s="31">
        <v>1031.58</v>
      </c>
      <c r="I19" s="31">
        <v>982.81</v>
      </c>
      <c r="J19" s="31">
        <v>763.83</v>
      </c>
      <c r="K19" s="31">
        <v>983.06</v>
      </c>
      <c r="L19" s="31">
        <v>2147.1999999999998</v>
      </c>
      <c r="M19" s="31">
        <v>1665.39</v>
      </c>
      <c r="N19" s="31">
        <v>1067.2</v>
      </c>
      <c r="O19" s="8">
        <f t="shared" si="0"/>
        <v>17171.38</v>
      </c>
      <c r="P19" s="1">
        <f t="shared" si="1"/>
        <v>12</v>
      </c>
      <c r="Q19" s="31">
        <f t="shared" si="2"/>
        <v>1430.9483333333335</v>
      </c>
    </row>
    <row r="20" spans="1:17">
      <c r="A20" s="4">
        <v>70023</v>
      </c>
      <c r="B20" s="1" t="s">
        <v>97</v>
      </c>
      <c r="C20" s="31">
        <v>1212.18</v>
      </c>
      <c r="D20" s="31">
        <v>1429.5</v>
      </c>
      <c r="E20" s="31">
        <v>1336.8</v>
      </c>
      <c r="F20" s="31">
        <v>1758.96</v>
      </c>
      <c r="G20" s="31">
        <v>1316.94</v>
      </c>
      <c r="H20" s="31">
        <v>875.01</v>
      </c>
      <c r="I20" s="31">
        <v>776.64</v>
      </c>
      <c r="J20" s="31">
        <v>1005.3</v>
      </c>
      <c r="K20" s="31">
        <v>1478.82</v>
      </c>
      <c r="L20" s="31">
        <v>4049.4</v>
      </c>
      <c r="M20" s="31">
        <v>1638.42</v>
      </c>
      <c r="N20" s="31">
        <v>1442.4</v>
      </c>
      <c r="O20" s="8">
        <f t="shared" si="0"/>
        <v>18320.370000000003</v>
      </c>
      <c r="P20" s="1">
        <f t="shared" si="1"/>
        <v>12</v>
      </c>
      <c r="Q20" s="31">
        <f t="shared" si="2"/>
        <v>1526.6975000000002</v>
      </c>
    </row>
    <row r="21" spans="1:17">
      <c r="A21" s="4" t="s">
        <v>66</v>
      </c>
      <c r="B21" s="1" t="s">
        <v>21</v>
      </c>
      <c r="C21" s="31">
        <v>5091</v>
      </c>
      <c r="D21" s="31">
        <v>4279</v>
      </c>
      <c r="E21" s="31">
        <v>4126</v>
      </c>
      <c r="F21" s="31">
        <v>4613</v>
      </c>
      <c r="G21" s="31">
        <v>2853</v>
      </c>
      <c r="H21" s="31">
        <v>2484</v>
      </c>
      <c r="I21" s="31">
        <v>1884</v>
      </c>
      <c r="J21" s="31">
        <v>1917.5</v>
      </c>
      <c r="K21" s="31">
        <v>2152</v>
      </c>
      <c r="L21" s="31">
        <v>3422</v>
      </c>
      <c r="M21" s="31">
        <v>4887</v>
      </c>
      <c r="N21" s="31">
        <v>4681</v>
      </c>
      <c r="O21" s="8">
        <f t="shared" si="0"/>
        <v>42389.5</v>
      </c>
      <c r="P21" s="1">
        <f t="shared" si="1"/>
        <v>12</v>
      </c>
      <c r="Q21" s="31">
        <f t="shared" si="2"/>
        <v>3532.4583333333335</v>
      </c>
    </row>
    <row r="22" spans="1:17">
      <c r="A22" s="4">
        <v>70026</v>
      </c>
      <c r="B22" s="1" t="s">
        <v>22</v>
      </c>
      <c r="C22" s="31">
        <v>12634.61</v>
      </c>
      <c r="D22" s="31">
        <v>9842.61</v>
      </c>
      <c r="E22" s="31">
        <v>11291.83</v>
      </c>
      <c r="F22" s="31">
        <v>10966.68</v>
      </c>
      <c r="G22" s="31">
        <v>6483.53</v>
      </c>
      <c r="H22" s="31">
        <v>3777.23</v>
      </c>
      <c r="I22" s="31">
        <v>4013.4</v>
      </c>
      <c r="J22" s="31">
        <v>4014.35</v>
      </c>
      <c r="K22" s="31">
        <v>6491.65</v>
      </c>
      <c r="L22" s="31">
        <v>10369.299999999999</v>
      </c>
      <c r="M22" s="31">
        <v>10841.93</v>
      </c>
      <c r="N22" s="31">
        <v>11597.28</v>
      </c>
      <c r="O22" s="8">
        <f t="shared" si="0"/>
        <v>102324.4</v>
      </c>
      <c r="P22" s="1">
        <f t="shared" si="1"/>
        <v>12</v>
      </c>
      <c r="Q22" s="31">
        <f t="shared" si="2"/>
        <v>8527.0333333333328</v>
      </c>
    </row>
    <row r="23" spans="1:17">
      <c r="A23" s="4">
        <v>70027</v>
      </c>
      <c r="B23" s="1" t="s">
        <v>23</v>
      </c>
      <c r="C23" s="31">
        <v>857.06</v>
      </c>
      <c r="D23" s="31">
        <v>842.67</v>
      </c>
      <c r="E23" s="31">
        <v>830.94</v>
      </c>
      <c r="F23" s="31">
        <v>944.58</v>
      </c>
      <c r="G23" s="31">
        <v>777.48</v>
      </c>
      <c r="H23" s="31">
        <v>744.44</v>
      </c>
      <c r="I23" s="31">
        <v>615.13</v>
      </c>
      <c r="J23" s="31">
        <v>599.27</v>
      </c>
      <c r="K23" s="31">
        <v>646.75</v>
      </c>
      <c r="L23" s="31">
        <v>932.15</v>
      </c>
      <c r="M23" s="31">
        <v>878.15</v>
      </c>
      <c r="N23" s="31">
        <v>936.9</v>
      </c>
      <c r="O23" s="8">
        <f t="shared" si="0"/>
        <v>9605.5199999999986</v>
      </c>
      <c r="P23" s="1">
        <f t="shared" si="1"/>
        <v>12</v>
      </c>
      <c r="Q23" s="31">
        <f t="shared" si="2"/>
        <v>800.45999999999992</v>
      </c>
    </row>
    <row r="24" spans="1:17">
      <c r="A24" s="4" t="s">
        <v>78</v>
      </c>
      <c r="B24" s="1" t="s">
        <v>77</v>
      </c>
      <c r="C24" s="31">
        <v>2538.63</v>
      </c>
      <c r="D24" s="31">
        <v>1671.09</v>
      </c>
      <c r="E24" s="31">
        <v>1469.94</v>
      </c>
      <c r="F24" s="31">
        <v>2395.6999999999998</v>
      </c>
      <c r="G24" s="31">
        <v>1680.38</v>
      </c>
      <c r="H24" s="31">
        <v>1586.48</v>
      </c>
      <c r="I24" s="31">
        <v>1590.66</v>
      </c>
      <c r="J24" s="31">
        <v>2001.63</v>
      </c>
      <c r="K24" s="31">
        <v>2323.46</v>
      </c>
      <c r="L24" s="31">
        <v>2712.86</v>
      </c>
      <c r="M24" s="31">
        <v>2105.19</v>
      </c>
      <c r="N24" s="31">
        <v>2140.17</v>
      </c>
      <c r="O24" s="8">
        <f t="shared" si="0"/>
        <v>24216.189999999995</v>
      </c>
      <c r="P24" s="1">
        <f t="shared" si="1"/>
        <v>12</v>
      </c>
      <c r="Q24" s="31">
        <f t="shared" si="2"/>
        <v>2018.0158333333329</v>
      </c>
    </row>
    <row r="25" spans="1:17">
      <c r="A25" s="4" t="s">
        <v>68</v>
      </c>
      <c r="B25" s="1" t="s">
        <v>24</v>
      </c>
      <c r="C25" s="31">
        <v>2867.48</v>
      </c>
      <c r="D25" s="31">
        <v>2201.2600000000002</v>
      </c>
      <c r="E25" s="31">
        <v>1787.32</v>
      </c>
      <c r="F25" s="31">
        <v>2508.9299999999998</v>
      </c>
      <c r="G25" s="31">
        <v>1642.33</v>
      </c>
      <c r="H25" s="31">
        <v>1384.31</v>
      </c>
      <c r="I25" s="31">
        <v>1070.17</v>
      </c>
      <c r="J25" s="31">
        <v>1402.93</v>
      </c>
      <c r="K25" s="31">
        <v>2567.3000000000002</v>
      </c>
      <c r="L25" s="31">
        <v>3180.23</v>
      </c>
      <c r="M25" s="31">
        <v>2780.94</v>
      </c>
      <c r="N25" s="31">
        <v>2245.77</v>
      </c>
      <c r="O25" s="8">
        <f t="shared" si="0"/>
        <v>25638.969999999998</v>
      </c>
      <c r="P25" s="1">
        <f t="shared" si="1"/>
        <v>12</v>
      </c>
      <c r="Q25" s="31">
        <f t="shared" si="2"/>
        <v>2136.580833333333</v>
      </c>
    </row>
    <row r="26" spans="1:17">
      <c r="A26" s="4">
        <v>70030</v>
      </c>
      <c r="B26" s="1" t="s">
        <v>81</v>
      </c>
      <c r="C26" s="31">
        <v>51225</v>
      </c>
      <c r="D26" s="31">
        <v>67387.8</v>
      </c>
      <c r="E26" s="31">
        <v>57579.93</v>
      </c>
      <c r="F26" s="31">
        <v>129538.79</v>
      </c>
      <c r="G26" s="31">
        <v>142275.54</v>
      </c>
      <c r="H26" s="31">
        <v>48342.79</v>
      </c>
      <c r="I26" s="31">
        <v>26431.79</v>
      </c>
      <c r="J26" s="31">
        <v>65460.1</v>
      </c>
      <c r="K26" s="31">
        <v>44313.9</v>
      </c>
      <c r="L26" s="31">
        <v>63034.13</v>
      </c>
      <c r="M26" s="31">
        <v>79863.649999999994</v>
      </c>
      <c r="N26" s="31">
        <v>60225.599999999999</v>
      </c>
      <c r="O26" s="8">
        <f t="shared" si="0"/>
        <v>835679.02</v>
      </c>
      <c r="P26" s="1">
        <f t="shared" si="1"/>
        <v>12</v>
      </c>
      <c r="Q26" s="31">
        <f t="shared" si="2"/>
        <v>69639.918333333335</v>
      </c>
    </row>
    <row r="27" spans="1:17">
      <c r="A27" s="4" t="s">
        <v>26</v>
      </c>
      <c r="B27" s="1" t="s">
        <v>25</v>
      </c>
      <c r="C27" s="31">
        <v>1522.05</v>
      </c>
      <c r="D27" s="31">
        <v>1428.74</v>
      </c>
      <c r="E27" s="31">
        <v>1075.76</v>
      </c>
      <c r="F27" s="31">
        <v>1306.98</v>
      </c>
      <c r="G27" s="31">
        <v>938.84</v>
      </c>
      <c r="H27" s="31">
        <v>818.17</v>
      </c>
      <c r="I27" s="31">
        <v>980.4</v>
      </c>
      <c r="J27" s="31">
        <v>1215.22</v>
      </c>
      <c r="K27" s="31">
        <v>1709.95</v>
      </c>
      <c r="L27" s="31">
        <v>1470.43</v>
      </c>
      <c r="M27" s="31">
        <v>1274.43</v>
      </c>
      <c r="N27" s="31">
        <v>1132.25</v>
      </c>
      <c r="O27" s="8">
        <f t="shared" si="0"/>
        <v>14873.220000000001</v>
      </c>
      <c r="P27" s="1">
        <f t="shared" si="1"/>
        <v>12</v>
      </c>
      <c r="Q27" s="31">
        <f t="shared" si="2"/>
        <v>1239.4350000000002</v>
      </c>
    </row>
    <row r="28" spans="1:17">
      <c r="A28" s="4">
        <v>70032</v>
      </c>
      <c r="B28" s="1" t="s">
        <v>11</v>
      </c>
      <c r="C28" s="31">
        <v>4578.42</v>
      </c>
      <c r="D28" s="31">
        <v>2902.09</v>
      </c>
      <c r="E28" s="31">
        <v>3521.31</v>
      </c>
      <c r="F28" s="31">
        <v>4614.29</v>
      </c>
      <c r="G28" s="31">
        <v>2477.33</v>
      </c>
      <c r="H28" s="31">
        <v>1750.82</v>
      </c>
      <c r="I28" s="31">
        <v>1594.01</v>
      </c>
      <c r="J28" s="31">
        <v>2235.5100000000002</v>
      </c>
      <c r="K28" s="31">
        <v>2838.98</v>
      </c>
      <c r="L28" s="31">
        <v>4575.4799999999996</v>
      </c>
      <c r="M28" s="31">
        <v>3632.88</v>
      </c>
      <c r="N28" s="31">
        <v>4039.41</v>
      </c>
      <c r="O28" s="8">
        <f t="shared" si="0"/>
        <v>38760.53</v>
      </c>
      <c r="P28" s="1">
        <f t="shared" si="1"/>
        <v>12</v>
      </c>
      <c r="Q28" s="31">
        <f t="shared" si="2"/>
        <v>3230.0441666666666</v>
      </c>
    </row>
    <row r="29" spans="1:17">
      <c r="A29" s="4">
        <v>70035</v>
      </c>
      <c r="B29" s="1" t="s">
        <v>28</v>
      </c>
      <c r="C29" s="31">
        <v>33944.97</v>
      </c>
      <c r="D29" s="31">
        <v>35274.29</v>
      </c>
      <c r="E29" s="31">
        <v>37932.6</v>
      </c>
      <c r="F29" s="31">
        <v>49222.91</v>
      </c>
      <c r="G29" s="31">
        <v>32329.1</v>
      </c>
      <c r="H29" s="31">
        <v>20115.689999999999</v>
      </c>
      <c r="I29" s="31">
        <v>23693.34</v>
      </c>
      <c r="J29" s="31">
        <v>23784.639999999999</v>
      </c>
      <c r="K29" s="31">
        <v>35320.65</v>
      </c>
      <c r="L29" s="31">
        <v>46079.62</v>
      </c>
      <c r="M29" s="31">
        <v>47428.06</v>
      </c>
      <c r="N29" s="31">
        <v>39947.26</v>
      </c>
      <c r="O29" s="8">
        <f t="shared" si="0"/>
        <v>425073.13000000006</v>
      </c>
      <c r="P29" s="1">
        <f t="shared" si="1"/>
        <v>12</v>
      </c>
      <c r="Q29" s="31">
        <f t="shared" si="2"/>
        <v>35422.760833333341</v>
      </c>
    </row>
    <row r="30" spans="1:17">
      <c r="A30" s="4">
        <v>70037</v>
      </c>
      <c r="B30" s="1" t="s">
        <v>29</v>
      </c>
      <c r="C30" s="31">
        <v>7285.56</v>
      </c>
      <c r="D30" s="31">
        <v>6057.32</v>
      </c>
      <c r="E30" s="31">
        <v>5368.85</v>
      </c>
      <c r="F30" s="31">
        <v>7123.55</v>
      </c>
      <c r="G30" s="31">
        <v>4944.76</v>
      </c>
      <c r="H30" s="31">
        <v>4100.55</v>
      </c>
      <c r="I30" s="31">
        <v>3407.96</v>
      </c>
      <c r="J30" s="31">
        <v>4301.3599999999997</v>
      </c>
      <c r="K30" s="31">
        <v>5673.49</v>
      </c>
      <c r="L30" s="31">
        <v>6751.45</v>
      </c>
      <c r="M30" s="31">
        <v>6764.44</v>
      </c>
      <c r="N30" s="31">
        <v>5873.6</v>
      </c>
      <c r="O30" s="8">
        <f t="shared" si="0"/>
        <v>67652.89</v>
      </c>
      <c r="P30" s="1">
        <f t="shared" si="1"/>
        <v>12</v>
      </c>
      <c r="Q30" s="31">
        <f t="shared" si="2"/>
        <v>5637.7408333333333</v>
      </c>
    </row>
    <row r="31" spans="1:17">
      <c r="A31" s="4">
        <v>70038</v>
      </c>
      <c r="B31" s="1" t="s">
        <v>30</v>
      </c>
      <c r="C31" s="31">
        <v>8289.9500000000007</v>
      </c>
      <c r="D31" s="31">
        <v>7648.79</v>
      </c>
      <c r="E31" s="31">
        <v>8302.94</v>
      </c>
      <c r="F31" s="31">
        <v>9349.83</v>
      </c>
      <c r="G31" s="31">
        <v>7555.47</v>
      </c>
      <c r="H31" s="31">
        <v>5842.03</v>
      </c>
      <c r="I31" s="31">
        <v>5440.97</v>
      </c>
      <c r="J31" s="31">
        <v>5723.41</v>
      </c>
      <c r="K31" s="31">
        <v>7265.29</v>
      </c>
      <c r="L31" s="31">
        <v>9043.2999999999993</v>
      </c>
      <c r="M31" s="31">
        <v>7713.95</v>
      </c>
      <c r="N31" s="31">
        <v>7574.47</v>
      </c>
      <c r="O31" s="8">
        <f t="shared" si="0"/>
        <v>89750.399999999994</v>
      </c>
      <c r="P31" s="1">
        <f t="shared" si="1"/>
        <v>12</v>
      </c>
      <c r="Q31" s="31">
        <f t="shared" si="2"/>
        <v>7479.2</v>
      </c>
    </row>
    <row r="32" spans="1:17">
      <c r="A32" s="4" t="s">
        <v>71</v>
      </c>
      <c r="B32" s="1" t="s">
        <v>31</v>
      </c>
      <c r="C32" s="31">
        <v>10893</v>
      </c>
      <c r="D32" s="31">
        <v>6880</v>
      </c>
      <c r="E32" s="31">
        <v>6556</v>
      </c>
      <c r="F32" s="31">
        <v>10076</v>
      </c>
      <c r="G32" s="31">
        <v>5315</v>
      </c>
      <c r="H32" s="31">
        <v>4422</v>
      </c>
      <c r="I32" s="31">
        <v>3328</v>
      </c>
      <c r="J32" s="31">
        <v>4909</v>
      </c>
      <c r="K32" s="31">
        <v>6419</v>
      </c>
      <c r="L32" s="31">
        <v>8729</v>
      </c>
      <c r="M32" s="31">
        <v>7182</v>
      </c>
      <c r="N32" s="31">
        <v>8275</v>
      </c>
      <c r="O32" s="8">
        <f t="shared" si="0"/>
        <v>82984</v>
      </c>
      <c r="P32" s="1">
        <f t="shared" si="1"/>
        <v>12</v>
      </c>
      <c r="Q32" s="31">
        <f t="shared" si="2"/>
        <v>6915.333333333333</v>
      </c>
    </row>
    <row r="33" spans="1:17">
      <c r="A33" s="4" t="s">
        <v>86</v>
      </c>
      <c r="B33" s="1" t="s">
        <v>32</v>
      </c>
      <c r="C33" s="31">
        <v>12358.17</v>
      </c>
      <c r="D33" s="31">
        <v>12520.8</v>
      </c>
      <c r="E33" s="31">
        <v>12436.38</v>
      </c>
      <c r="F33" s="31">
        <v>12384.73</v>
      </c>
      <c r="G33" s="31">
        <v>10096.27</v>
      </c>
      <c r="H33" s="31">
        <v>7611.14</v>
      </c>
      <c r="I33" s="31">
        <v>9675.9</v>
      </c>
      <c r="J33" s="31">
        <v>9319.4699999999993</v>
      </c>
      <c r="K33" s="31">
        <v>9985.84</v>
      </c>
      <c r="L33" s="31">
        <v>12469.23</v>
      </c>
      <c r="M33" s="31">
        <v>13704.09</v>
      </c>
      <c r="N33" s="31">
        <v>12182.72</v>
      </c>
      <c r="O33" s="8">
        <f t="shared" si="0"/>
        <v>134744.74</v>
      </c>
      <c r="P33" s="1">
        <f t="shared" si="1"/>
        <v>12</v>
      </c>
      <c r="Q33" s="31">
        <f t="shared" si="2"/>
        <v>11228.728333333333</v>
      </c>
    </row>
    <row r="34" spans="1:17">
      <c r="A34" s="4">
        <v>70044</v>
      </c>
      <c r="B34" s="1" t="s">
        <v>34</v>
      </c>
      <c r="C34" s="31">
        <v>10015.1</v>
      </c>
      <c r="D34" s="31">
        <v>7033</v>
      </c>
      <c r="E34" s="31">
        <v>6917.32</v>
      </c>
      <c r="F34" s="31">
        <v>9479.33</v>
      </c>
      <c r="G34" s="31">
        <v>4654.03</v>
      </c>
      <c r="H34" s="31">
        <v>3740.14</v>
      </c>
      <c r="I34" s="31">
        <v>3230.1</v>
      </c>
      <c r="J34" s="31">
        <v>3881.59</v>
      </c>
      <c r="K34" s="31">
        <v>5769.81</v>
      </c>
      <c r="L34" s="31">
        <v>8195.48</v>
      </c>
      <c r="M34" s="31">
        <v>7534.26</v>
      </c>
      <c r="N34" s="31">
        <v>7185.11</v>
      </c>
      <c r="O34" s="8">
        <f t="shared" si="0"/>
        <v>77635.26999999999</v>
      </c>
      <c r="P34" s="1">
        <f t="shared" si="1"/>
        <v>12</v>
      </c>
      <c r="Q34" s="31">
        <f t="shared" si="2"/>
        <v>6469.6058333333322</v>
      </c>
    </row>
    <row r="35" spans="1:17">
      <c r="A35" s="4">
        <v>70046</v>
      </c>
      <c r="B35" s="1" t="s">
        <v>35</v>
      </c>
      <c r="C35" s="31">
        <v>1365.54</v>
      </c>
      <c r="D35" s="31">
        <v>1302.3599999999999</v>
      </c>
      <c r="E35" s="31">
        <v>1249.04</v>
      </c>
      <c r="F35" s="31">
        <v>1363.4</v>
      </c>
      <c r="G35" s="31">
        <v>1267.93</v>
      </c>
      <c r="H35" s="31">
        <v>1302.45</v>
      </c>
      <c r="I35" s="31">
        <v>1231.0999999999999</v>
      </c>
      <c r="J35" s="31">
        <v>1184.1099999999999</v>
      </c>
      <c r="K35" s="31">
        <v>1374.04</v>
      </c>
      <c r="L35" s="31">
        <v>1374.52</v>
      </c>
      <c r="M35" s="31">
        <v>1266.42</v>
      </c>
      <c r="N35" s="31">
        <v>1381.48</v>
      </c>
      <c r="O35" s="8">
        <f t="shared" si="0"/>
        <v>15662.390000000001</v>
      </c>
      <c r="P35" s="1">
        <f t="shared" si="1"/>
        <v>12</v>
      </c>
      <c r="Q35" s="31">
        <f t="shared" si="2"/>
        <v>1305.1991666666668</v>
      </c>
    </row>
    <row r="36" spans="1:17">
      <c r="A36" s="4">
        <v>70048</v>
      </c>
      <c r="B36" s="1" t="s">
        <v>36</v>
      </c>
      <c r="C36" s="31">
        <v>3681.26</v>
      </c>
      <c r="D36" s="31">
        <v>3652.15</v>
      </c>
      <c r="E36" s="31">
        <v>3509.32</v>
      </c>
      <c r="F36" s="31">
        <v>3279.21</v>
      </c>
      <c r="G36" s="31">
        <v>2511.0100000000002</v>
      </c>
      <c r="H36" s="31">
        <v>2704.99</v>
      </c>
      <c r="I36" s="31">
        <v>2843.27</v>
      </c>
      <c r="J36" s="31">
        <v>2562.31</v>
      </c>
      <c r="K36" s="31">
        <v>3056.1</v>
      </c>
      <c r="L36" s="31">
        <v>3655.11</v>
      </c>
      <c r="M36" s="31">
        <v>3429.06</v>
      </c>
      <c r="N36" s="31">
        <v>3236.51</v>
      </c>
      <c r="O36" s="8">
        <f t="shared" si="0"/>
        <v>38120.299999999996</v>
      </c>
      <c r="P36" s="1">
        <f t="shared" si="1"/>
        <v>12</v>
      </c>
      <c r="Q36" s="31">
        <f t="shared" si="2"/>
        <v>3176.6916666666662</v>
      </c>
    </row>
    <row r="37" spans="1:17">
      <c r="A37" s="4">
        <v>70049</v>
      </c>
      <c r="B37" s="1" t="s">
        <v>37</v>
      </c>
      <c r="C37" s="31">
        <v>136.72999999999999</v>
      </c>
      <c r="D37" s="31">
        <v>134.25</v>
      </c>
      <c r="E37" s="31">
        <v>177.85</v>
      </c>
      <c r="F37" s="31">
        <v>321.95999999999998</v>
      </c>
      <c r="G37" s="31">
        <v>140.25</v>
      </c>
      <c r="H37" s="31">
        <v>124.66</v>
      </c>
      <c r="I37" s="31">
        <v>70.930000000000007</v>
      </c>
      <c r="J37" s="31">
        <v>53.14</v>
      </c>
      <c r="K37" s="31">
        <v>102</v>
      </c>
      <c r="L37" s="31">
        <v>315.64</v>
      </c>
      <c r="M37" s="31">
        <v>332.63</v>
      </c>
      <c r="N37" s="31">
        <v>441.21</v>
      </c>
      <c r="O37" s="8">
        <f t="shared" si="0"/>
        <v>2351.2500000000005</v>
      </c>
      <c r="P37" s="1">
        <f t="shared" si="1"/>
        <v>12</v>
      </c>
      <c r="Q37" s="31">
        <f t="shared" si="2"/>
        <v>195.93750000000003</v>
      </c>
    </row>
    <row r="38" spans="1:17">
      <c r="A38" s="4" t="s">
        <v>79</v>
      </c>
      <c r="B38" s="1" t="s">
        <v>80</v>
      </c>
      <c r="C38" s="31">
        <v>9616</v>
      </c>
      <c r="D38" s="31">
        <v>6925</v>
      </c>
      <c r="E38" s="31">
        <v>6517</v>
      </c>
      <c r="F38" s="31">
        <v>9330</v>
      </c>
      <c r="G38" s="31">
        <v>5150</v>
      </c>
      <c r="H38" s="31">
        <v>4162</v>
      </c>
      <c r="I38" s="31">
        <v>3066</v>
      </c>
      <c r="J38" s="31">
        <v>4237</v>
      </c>
      <c r="K38" s="31">
        <v>6910</v>
      </c>
      <c r="L38" s="31">
        <v>8239</v>
      </c>
      <c r="M38" s="31">
        <v>6459</v>
      </c>
      <c r="N38" s="31">
        <v>6966</v>
      </c>
      <c r="O38" s="8">
        <f t="shared" si="0"/>
        <v>77577</v>
      </c>
      <c r="P38" s="1">
        <f t="shared" si="1"/>
        <v>12</v>
      </c>
      <c r="Q38" s="31">
        <f t="shared" si="2"/>
        <v>6464.75</v>
      </c>
    </row>
    <row r="39" spans="1:17">
      <c r="A39" s="4" t="s">
        <v>99</v>
      </c>
      <c r="B39" s="1" t="s">
        <v>70</v>
      </c>
      <c r="C39" s="31">
        <v>6709.56</v>
      </c>
      <c r="D39" s="31">
        <v>5772.81</v>
      </c>
      <c r="E39" s="31">
        <v>5117.42</v>
      </c>
      <c r="F39" s="31">
        <v>6025.96</v>
      </c>
      <c r="G39" s="31">
        <v>4255.78</v>
      </c>
      <c r="H39" s="31">
        <v>4237.18</v>
      </c>
      <c r="I39" s="31">
        <v>3582.3</v>
      </c>
      <c r="J39" s="31">
        <v>4040.76</v>
      </c>
      <c r="K39" s="31">
        <v>5733.54</v>
      </c>
      <c r="L39" s="31">
        <v>6436.71</v>
      </c>
      <c r="M39" s="31">
        <v>4402.16</v>
      </c>
      <c r="N39" s="31">
        <v>965.09</v>
      </c>
      <c r="O39" s="8">
        <f t="shared" si="0"/>
        <v>57279.270000000004</v>
      </c>
      <c r="P39" s="1">
        <f t="shared" si="1"/>
        <v>12</v>
      </c>
      <c r="Q39" s="31">
        <f t="shared" si="2"/>
        <v>4773.2725</v>
      </c>
    </row>
    <row r="40" spans="1:17">
      <c r="A40" s="4">
        <v>70052</v>
      </c>
      <c r="B40" s="1" t="s">
        <v>38</v>
      </c>
      <c r="C40" s="31">
        <v>5073.1499999999996</v>
      </c>
      <c r="D40" s="31">
        <v>5090.8100000000004</v>
      </c>
      <c r="E40" s="31">
        <v>4885.49</v>
      </c>
      <c r="F40" s="31">
        <v>5041.6899999999996</v>
      </c>
      <c r="G40" s="31">
        <v>4454.6899999999996</v>
      </c>
      <c r="H40" s="31">
        <v>3568.94</v>
      </c>
      <c r="I40" s="31">
        <v>3164.13</v>
      </c>
      <c r="J40" s="31">
        <v>2952.28</v>
      </c>
      <c r="K40" s="31">
        <v>3704.99</v>
      </c>
      <c r="L40" s="31">
        <v>4343.6499999999996</v>
      </c>
      <c r="M40" s="31">
        <v>4541.66</v>
      </c>
      <c r="N40" s="31">
        <v>3974.97</v>
      </c>
      <c r="O40" s="8">
        <f t="shared" si="0"/>
        <v>50796.45</v>
      </c>
      <c r="P40" s="1">
        <f t="shared" si="1"/>
        <v>12</v>
      </c>
      <c r="Q40" s="31">
        <f t="shared" si="2"/>
        <v>4233.0374999999995</v>
      </c>
    </row>
    <row r="41" spans="1:17">
      <c r="A41" s="4">
        <v>70053</v>
      </c>
      <c r="B41" s="1" t="s">
        <v>39</v>
      </c>
      <c r="C41" s="31">
        <v>14409.14</v>
      </c>
      <c r="D41" s="31">
        <v>17364.3</v>
      </c>
      <c r="E41" s="31">
        <v>13830.44</v>
      </c>
      <c r="F41" s="31">
        <v>21057.05</v>
      </c>
      <c r="G41" s="31">
        <v>17814.02</v>
      </c>
      <c r="H41" s="31">
        <v>13704.79</v>
      </c>
      <c r="I41" s="31">
        <v>6294.76</v>
      </c>
      <c r="J41" s="31">
        <v>9633.42</v>
      </c>
      <c r="K41" s="31">
        <v>12743.35</v>
      </c>
      <c r="L41" s="31">
        <v>15744.89</v>
      </c>
      <c r="M41" s="31">
        <v>20984.38</v>
      </c>
      <c r="N41" s="31">
        <v>15041.49</v>
      </c>
      <c r="O41" s="8">
        <f t="shared" si="0"/>
        <v>178622.02999999997</v>
      </c>
      <c r="P41" s="1">
        <f t="shared" si="1"/>
        <v>12</v>
      </c>
      <c r="Q41" s="31">
        <f t="shared" si="2"/>
        <v>14885.169166666665</v>
      </c>
    </row>
    <row r="42" spans="1:17">
      <c r="A42" s="4">
        <v>70054</v>
      </c>
      <c r="B42" s="1" t="s">
        <v>40</v>
      </c>
      <c r="C42" s="31">
        <v>12461.92</v>
      </c>
      <c r="D42" s="31">
        <v>7648</v>
      </c>
      <c r="E42" s="31">
        <v>11357.08</v>
      </c>
      <c r="F42" s="31">
        <v>14848.91</v>
      </c>
      <c r="G42" s="31">
        <v>8792.9699999999993</v>
      </c>
      <c r="H42" s="31">
        <v>3886.28</v>
      </c>
      <c r="I42" s="31">
        <v>3749.92</v>
      </c>
      <c r="J42" s="31">
        <v>4521.47</v>
      </c>
      <c r="K42" s="31">
        <v>6221.69</v>
      </c>
      <c r="L42" s="31">
        <v>11934.16</v>
      </c>
      <c r="M42" s="31">
        <v>6962.16</v>
      </c>
      <c r="N42" s="31">
        <v>8516.32</v>
      </c>
      <c r="O42" s="8">
        <f t="shared" si="0"/>
        <v>100900.88</v>
      </c>
      <c r="P42" s="1">
        <f t="shared" si="1"/>
        <v>12</v>
      </c>
      <c r="Q42" s="31">
        <f t="shared" si="2"/>
        <v>8408.4066666666677</v>
      </c>
    </row>
    <row r="43" spans="1:17">
      <c r="A43" s="4">
        <v>70055</v>
      </c>
      <c r="B43" s="1" t="s">
        <v>41</v>
      </c>
      <c r="C43" s="31">
        <v>6676.06</v>
      </c>
      <c r="D43" s="31">
        <v>5759.51</v>
      </c>
      <c r="E43" s="31">
        <v>5299.28</v>
      </c>
      <c r="F43" s="31">
        <v>6179.04</v>
      </c>
      <c r="G43" s="31">
        <v>5072.84</v>
      </c>
      <c r="H43" s="31">
        <v>4916.59</v>
      </c>
      <c r="I43" s="31">
        <v>4294.03</v>
      </c>
      <c r="J43" s="31">
        <v>4696.1099999999997</v>
      </c>
      <c r="K43" s="31">
        <v>6137.5</v>
      </c>
      <c r="L43" s="31">
        <v>6205.87</v>
      </c>
      <c r="M43" s="31">
        <v>6037.12</v>
      </c>
      <c r="N43" s="31">
        <v>6343.09</v>
      </c>
      <c r="O43" s="8">
        <f t="shared" si="0"/>
        <v>67617.040000000008</v>
      </c>
      <c r="P43" s="1">
        <f t="shared" si="1"/>
        <v>12</v>
      </c>
      <c r="Q43" s="31">
        <f t="shared" si="2"/>
        <v>5634.753333333334</v>
      </c>
    </row>
    <row r="44" spans="1:17">
      <c r="A44" s="4">
        <v>70062</v>
      </c>
      <c r="B44" s="1" t="s">
        <v>42</v>
      </c>
      <c r="C44" s="31">
        <v>7894.69</v>
      </c>
      <c r="D44" s="31">
        <v>7245.3</v>
      </c>
      <c r="E44" s="31">
        <v>7020.68</v>
      </c>
      <c r="F44" s="31">
        <v>8621.7800000000007</v>
      </c>
      <c r="G44" s="31">
        <v>6798.25</v>
      </c>
      <c r="H44" s="31">
        <v>5941.15</v>
      </c>
      <c r="I44" s="31">
        <v>5336.93</v>
      </c>
      <c r="J44" s="31">
        <v>5667.24</v>
      </c>
      <c r="K44" s="31">
        <v>7266.48</v>
      </c>
      <c r="L44" s="31">
        <v>8360.6299999999992</v>
      </c>
      <c r="M44" s="31">
        <v>7875.17</v>
      </c>
      <c r="N44" s="31">
        <v>7342.2</v>
      </c>
      <c r="O44" s="8">
        <f t="shared" si="0"/>
        <v>85370.5</v>
      </c>
      <c r="P44" s="1">
        <f t="shared" si="1"/>
        <v>12</v>
      </c>
      <c r="Q44" s="31">
        <f t="shared" si="2"/>
        <v>7114.208333333333</v>
      </c>
    </row>
    <row r="45" spans="1:17">
      <c r="A45" s="4">
        <v>70063</v>
      </c>
      <c r="B45" s="1" t="s">
        <v>43</v>
      </c>
      <c r="C45" s="31">
        <v>9495.14</v>
      </c>
      <c r="D45" s="31">
        <v>9104.73</v>
      </c>
      <c r="E45" s="31">
        <v>8835.92</v>
      </c>
      <c r="F45" s="31">
        <v>10817.19</v>
      </c>
      <c r="G45" s="31">
        <v>7164.02</v>
      </c>
      <c r="H45" s="31">
        <v>4661.5</v>
      </c>
      <c r="I45" s="31">
        <v>6085.1</v>
      </c>
      <c r="J45" s="31">
        <v>6979.67</v>
      </c>
      <c r="K45" s="31">
        <v>8320.81</v>
      </c>
      <c r="L45" s="31">
        <v>10317.89</v>
      </c>
      <c r="M45" s="31">
        <v>9113.5499999999993</v>
      </c>
      <c r="N45" s="31">
        <v>9131.42</v>
      </c>
      <c r="O45" s="8">
        <f t="shared" si="0"/>
        <v>100026.94</v>
      </c>
      <c r="P45" s="1">
        <f t="shared" si="1"/>
        <v>12</v>
      </c>
      <c r="Q45" s="31">
        <f t="shared" si="2"/>
        <v>8335.5783333333329</v>
      </c>
    </row>
    <row r="46" spans="1:17">
      <c r="A46" s="4">
        <v>70065</v>
      </c>
      <c r="B46" s="1" t="s">
        <v>44</v>
      </c>
      <c r="C46" s="31">
        <v>175.49</v>
      </c>
      <c r="D46" s="31">
        <v>127.56</v>
      </c>
      <c r="E46" s="31">
        <v>77.03</v>
      </c>
      <c r="F46" s="31">
        <v>231.9</v>
      </c>
      <c r="G46" s="31">
        <v>111.89</v>
      </c>
      <c r="H46" s="31">
        <v>34.020000000000003</v>
      </c>
      <c r="I46" s="31">
        <v>54.3</v>
      </c>
      <c r="J46" s="31">
        <v>0</v>
      </c>
      <c r="K46" s="31">
        <v>0</v>
      </c>
      <c r="L46" s="31">
        <v>57.78</v>
      </c>
      <c r="M46" s="31">
        <v>109.02</v>
      </c>
      <c r="N46" s="31">
        <v>16.68</v>
      </c>
      <c r="O46" s="8">
        <f t="shared" si="0"/>
        <v>995.66999999999985</v>
      </c>
      <c r="P46" s="1">
        <f t="shared" si="1"/>
        <v>12</v>
      </c>
      <c r="Q46" s="31">
        <f t="shared" si="2"/>
        <v>82.972499999999982</v>
      </c>
    </row>
    <row r="47" spans="1:17">
      <c r="A47" s="4">
        <v>70067</v>
      </c>
      <c r="B47" s="1" t="s">
        <v>46</v>
      </c>
      <c r="C47" s="31">
        <v>4256.6499999999996</v>
      </c>
      <c r="D47" s="31">
        <v>3215.42</v>
      </c>
      <c r="E47" s="31">
        <v>2760.23</v>
      </c>
      <c r="F47" s="31">
        <v>4047.79</v>
      </c>
      <c r="G47" s="31">
        <v>2440.44</v>
      </c>
      <c r="H47" s="31">
        <v>2062.83</v>
      </c>
      <c r="I47" s="31">
        <v>1627.91</v>
      </c>
      <c r="J47" s="31">
        <v>1752.61</v>
      </c>
      <c r="K47" s="31">
        <v>2805.95</v>
      </c>
      <c r="L47" s="31">
        <v>4263.96</v>
      </c>
      <c r="M47" s="31">
        <v>3871.26</v>
      </c>
      <c r="N47" s="31">
        <v>3462.54</v>
      </c>
      <c r="O47" s="8">
        <f t="shared" si="0"/>
        <v>36567.590000000004</v>
      </c>
      <c r="P47" s="1">
        <f t="shared" si="1"/>
        <v>12</v>
      </c>
      <c r="Q47" s="31">
        <f t="shared" si="2"/>
        <v>3047.2991666666671</v>
      </c>
    </row>
    <row r="48" spans="1:17">
      <c r="A48" s="4">
        <v>70068</v>
      </c>
      <c r="B48" s="1" t="s">
        <v>47</v>
      </c>
      <c r="C48" s="31">
        <v>282.3</v>
      </c>
      <c r="D48" s="31">
        <v>274.14</v>
      </c>
      <c r="E48" s="31">
        <v>237.78</v>
      </c>
      <c r="F48" s="31">
        <v>464.16</v>
      </c>
      <c r="G48" s="31">
        <v>195.3</v>
      </c>
      <c r="H48" s="31">
        <v>74.7</v>
      </c>
      <c r="I48" s="31">
        <v>0</v>
      </c>
      <c r="J48" s="31">
        <v>44.16</v>
      </c>
      <c r="K48" s="31">
        <v>157.08000000000001</v>
      </c>
      <c r="L48" s="31">
        <v>531.9</v>
      </c>
      <c r="M48" s="31">
        <v>520.79999999999995</v>
      </c>
      <c r="N48" s="31">
        <v>350.4</v>
      </c>
      <c r="O48" s="8">
        <f t="shared" si="0"/>
        <v>3132.72</v>
      </c>
      <c r="P48" s="1">
        <f t="shared" si="1"/>
        <v>12</v>
      </c>
      <c r="Q48" s="31">
        <f t="shared" si="2"/>
        <v>261.06</v>
      </c>
    </row>
    <row r="49" spans="1:17">
      <c r="A49" s="4" t="s">
        <v>72</v>
      </c>
      <c r="B49" s="1" t="s">
        <v>48</v>
      </c>
      <c r="C49" s="31">
        <v>7151</v>
      </c>
      <c r="D49" s="31">
        <v>6470</v>
      </c>
      <c r="E49" s="31">
        <v>6014</v>
      </c>
      <c r="F49" s="31">
        <v>7353</v>
      </c>
      <c r="G49" s="31">
        <v>5405</v>
      </c>
      <c r="H49" s="31">
        <v>4504</v>
      </c>
      <c r="I49" s="31">
        <v>4479</v>
      </c>
      <c r="J49" s="31">
        <v>4471</v>
      </c>
      <c r="K49" s="31">
        <v>6415</v>
      </c>
      <c r="L49" s="31">
        <v>7355</v>
      </c>
      <c r="M49" s="31">
        <v>7057</v>
      </c>
      <c r="N49" s="31">
        <v>6813</v>
      </c>
      <c r="O49" s="8">
        <f t="shared" si="0"/>
        <v>73487</v>
      </c>
      <c r="P49" s="1">
        <f t="shared" si="1"/>
        <v>12</v>
      </c>
      <c r="Q49" s="31">
        <f t="shared" si="2"/>
        <v>6123.916666666667</v>
      </c>
    </row>
    <row r="50" spans="1:17">
      <c r="A50" s="4" t="s">
        <v>65</v>
      </c>
      <c r="B50" s="1" t="s">
        <v>67</v>
      </c>
      <c r="C50" s="31">
        <v>18135.599999999999</v>
      </c>
      <c r="D50" s="31">
        <v>17211.36</v>
      </c>
      <c r="E50" s="31">
        <v>18193.439999999999</v>
      </c>
      <c r="F50" s="31">
        <v>21862.2</v>
      </c>
      <c r="G50" s="31">
        <v>15558.36</v>
      </c>
      <c r="H50" s="31">
        <v>12514.38</v>
      </c>
      <c r="I50" s="31">
        <v>13377.6</v>
      </c>
      <c r="J50" s="31">
        <v>13551.36</v>
      </c>
      <c r="K50" s="31">
        <v>16013.52</v>
      </c>
      <c r="L50" s="31">
        <v>20872.62</v>
      </c>
      <c r="M50" s="31">
        <v>20247.599999999999</v>
      </c>
      <c r="N50" s="31">
        <v>18150.72</v>
      </c>
      <c r="O50" s="8">
        <f t="shared" si="0"/>
        <v>205688.76</v>
      </c>
      <c r="P50" s="1">
        <f t="shared" si="1"/>
        <v>12</v>
      </c>
      <c r="Q50" s="31">
        <f t="shared" si="2"/>
        <v>17140.73</v>
      </c>
    </row>
    <row r="51" spans="1:17">
      <c r="A51" s="4">
        <v>70071</v>
      </c>
      <c r="B51" s="1" t="s">
        <v>49</v>
      </c>
      <c r="C51" s="31">
        <v>350.47</v>
      </c>
      <c r="D51" s="31">
        <v>311.94</v>
      </c>
      <c r="E51" s="31">
        <v>417.29</v>
      </c>
      <c r="F51" s="31">
        <v>860.52</v>
      </c>
      <c r="G51" s="31">
        <v>250.38</v>
      </c>
      <c r="H51" s="31">
        <v>27.6</v>
      </c>
      <c r="I51" s="31">
        <v>192.35</v>
      </c>
      <c r="J51" s="31">
        <v>72.239999999999995</v>
      </c>
      <c r="K51" s="31">
        <v>175.78</v>
      </c>
      <c r="L51" s="31">
        <v>778.23</v>
      </c>
      <c r="M51" s="31">
        <v>560.04</v>
      </c>
      <c r="N51" s="31">
        <v>423.42</v>
      </c>
      <c r="O51" s="8">
        <f t="shared" si="0"/>
        <v>4420.2599999999993</v>
      </c>
      <c r="P51" s="1">
        <f t="shared" si="1"/>
        <v>12</v>
      </c>
      <c r="Q51" s="31">
        <f t="shared" si="2"/>
        <v>368.35499999999996</v>
      </c>
    </row>
    <row r="52" spans="1:17">
      <c r="A52" s="4">
        <v>70072</v>
      </c>
      <c r="B52" s="1" t="s">
        <v>50</v>
      </c>
      <c r="C52" s="31">
        <v>6446.4</v>
      </c>
      <c r="D52" s="31">
        <v>5874.29</v>
      </c>
      <c r="E52" s="31">
        <v>6675.34</v>
      </c>
      <c r="F52" s="31">
        <v>6663.16</v>
      </c>
      <c r="G52" s="31">
        <v>6289.55</v>
      </c>
      <c r="H52" s="31">
        <v>4639.92</v>
      </c>
      <c r="I52" s="31">
        <v>4083.56</v>
      </c>
      <c r="J52" s="31">
        <v>3567.88</v>
      </c>
      <c r="K52" s="31">
        <v>4550.4399999999996</v>
      </c>
      <c r="L52" s="31">
        <v>7217.32</v>
      </c>
      <c r="M52" s="31">
        <v>5791.28</v>
      </c>
      <c r="N52" s="31">
        <v>6546.99</v>
      </c>
      <c r="O52" s="8">
        <f t="shared" si="0"/>
        <v>68346.12999999999</v>
      </c>
      <c r="P52" s="1">
        <f t="shared" si="1"/>
        <v>12</v>
      </c>
      <c r="Q52" s="31">
        <f t="shared" si="2"/>
        <v>5695.5108333333328</v>
      </c>
    </row>
    <row r="53" spans="1:17">
      <c r="A53" s="4">
        <v>70075</v>
      </c>
      <c r="B53" s="1" t="s">
        <v>53</v>
      </c>
      <c r="C53" s="31">
        <v>7295.42</v>
      </c>
      <c r="D53" s="31">
        <v>5977.61</v>
      </c>
      <c r="E53" s="31">
        <v>6032.86</v>
      </c>
      <c r="F53" s="31">
        <v>7015.2</v>
      </c>
      <c r="G53" s="31">
        <v>5082.58</v>
      </c>
      <c r="H53" s="31">
        <v>4150.58</v>
      </c>
      <c r="I53" s="31">
        <v>4145.74</v>
      </c>
      <c r="J53" s="31">
        <v>4817.09</v>
      </c>
      <c r="K53" s="31">
        <v>6436.49</v>
      </c>
      <c r="L53" s="31">
        <v>6882.61</v>
      </c>
      <c r="M53" s="31">
        <v>6792.83</v>
      </c>
      <c r="N53" s="31">
        <v>7053.54</v>
      </c>
      <c r="O53" s="8">
        <f t="shared" si="0"/>
        <v>71682.55</v>
      </c>
      <c r="P53" s="1">
        <f t="shared" si="1"/>
        <v>12</v>
      </c>
      <c r="Q53" s="31">
        <f t="shared" si="2"/>
        <v>5973.5458333333336</v>
      </c>
    </row>
    <row r="54" spans="1:17">
      <c r="A54" s="4">
        <v>70076</v>
      </c>
      <c r="B54" s="1" t="s">
        <v>54</v>
      </c>
      <c r="C54" s="31">
        <v>9221.4699999999993</v>
      </c>
      <c r="D54" s="31">
        <v>8048.86</v>
      </c>
      <c r="E54" s="31">
        <v>8760.9</v>
      </c>
      <c r="F54" s="31">
        <v>10573.94</v>
      </c>
      <c r="G54" s="31">
        <v>8333.6</v>
      </c>
      <c r="H54" s="31">
        <v>5550.39</v>
      </c>
      <c r="I54" s="31">
        <v>5389.27</v>
      </c>
      <c r="J54" s="31">
        <v>6441.61</v>
      </c>
      <c r="K54" s="31">
        <v>8708.68</v>
      </c>
      <c r="L54" s="31">
        <v>10301.530000000001</v>
      </c>
      <c r="M54" s="31">
        <v>9221.48</v>
      </c>
      <c r="N54" s="31">
        <v>9137.07</v>
      </c>
      <c r="O54" s="8">
        <f t="shared" si="0"/>
        <v>99688.799999999988</v>
      </c>
      <c r="P54" s="1">
        <f t="shared" si="1"/>
        <v>12</v>
      </c>
      <c r="Q54" s="31">
        <f t="shared" si="2"/>
        <v>8307.4</v>
      </c>
    </row>
    <row r="55" spans="1:17">
      <c r="A55" s="4">
        <v>70077</v>
      </c>
      <c r="B55" s="1" t="s">
        <v>98</v>
      </c>
      <c r="C55" s="31">
        <v>6086.14</v>
      </c>
      <c r="D55" s="31">
        <v>5946.52</v>
      </c>
      <c r="E55" s="31">
        <v>5852.76</v>
      </c>
      <c r="F55" s="31">
        <v>7084.72</v>
      </c>
      <c r="G55" s="31">
        <v>5937.35</v>
      </c>
      <c r="H55" s="31">
        <v>3842.82</v>
      </c>
      <c r="I55" s="31">
        <v>6648.63</v>
      </c>
      <c r="J55" s="31">
        <v>6233.49</v>
      </c>
      <c r="K55" s="31">
        <v>7248.97</v>
      </c>
      <c r="L55" s="31">
        <v>7682.53</v>
      </c>
      <c r="M55" s="31">
        <v>6127.12</v>
      </c>
      <c r="N55" s="31">
        <v>7448.88</v>
      </c>
      <c r="O55" s="8">
        <f t="shared" si="0"/>
        <v>76139.929999999993</v>
      </c>
      <c r="P55" s="1">
        <f t="shared" si="1"/>
        <v>12</v>
      </c>
      <c r="Q55" s="31">
        <f t="shared" si="2"/>
        <v>6344.9941666666664</v>
      </c>
    </row>
    <row r="56" spans="1:17">
      <c r="A56" s="4">
        <v>70078</v>
      </c>
      <c r="B56" s="1" t="s">
        <v>55</v>
      </c>
      <c r="C56" s="31">
        <v>11730.78</v>
      </c>
      <c r="D56" s="31">
        <v>10757.39</v>
      </c>
      <c r="E56" s="31">
        <v>14189.53</v>
      </c>
      <c r="F56" s="31">
        <v>12510.21</v>
      </c>
      <c r="G56" s="31">
        <v>10392</v>
      </c>
      <c r="H56" s="31">
        <v>10610.95</v>
      </c>
      <c r="I56" s="31">
        <v>9109.19</v>
      </c>
      <c r="J56" s="31">
        <v>9489.58</v>
      </c>
      <c r="K56" s="31">
        <v>13461.69</v>
      </c>
      <c r="L56" s="31">
        <v>13530.4</v>
      </c>
      <c r="M56" s="31">
        <v>12771.46</v>
      </c>
      <c r="N56" s="31">
        <v>13967.45</v>
      </c>
      <c r="O56" s="8">
        <f t="shared" si="0"/>
        <v>142520.63</v>
      </c>
      <c r="P56" s="1">
        <f t="shared" si="1"/>
        <v>12</v>
      </c>
      <c r="Q56" s="31">
        <f t="shared" si="2"/>
        <v>11876.719166666668</v>
      </c>
    </row>
    <row r="57" spans="1:17">
      <c r="A57" s="4">
        <v>70079</v>
      </c>
      <c r="B57" s="1" t="s">
        <v>56</v>
      </c>
      <c r="C57" s="31">
        <v>11835.29</v>
      </c>
      <c r="D57" s="31">
        <v>10458.94</v>
      </c>
      <c r="E57" s="31">
        <v>10518.1</v>
      </c>
      <c r="F57" s="31">
        <v>13064.96</v>
      </c>
      <c r="G57" s="31">
        <v>9941.0300000000007</v>
      </c>
      <c r="H57" s="31">
        <v>8073.1</v>
      </c>
      <c r="I57" s="31">
        <v>8607.85</v>
      </c>
      <c r="J57" s="31">
        <v>9935.9599999999991</v>
      </c>
      <c r="K57" s="31">
        <v>11350.77</v>
      </c>
      <c r="L57" s="31">
        <v>12946.32</v>
      </c>
      <c r="M57" s="31">
        <v>12681.74</v>
      </c>
      <c r="N57" s="31">
        <v>11877.23</v>
      </c>
      <c r="O57" s="8">
        <f t="shared" si="0"/>
        <v>131291.29</v>
      </c>
      <c r="P57" s="1">
        <f t="shared" si="1"/>
        <v>12</v>
      </c>
      <c r="Q57" s="31">
        <f t="shared" si="2"/>
        <v>10940.940833333334</v>
      </c>
    </row>
    <row r="58" spans="1:17">
      <c r="A58" s="4">
        <v>70080</v>
      </c>
      <c r="B58" s="1" t="s">
        <v>57</v>
      </c>
      <c r="C58" s="31">
        <v>2314.52</v>
      </c>
      <c r="D58" s="31">
        <v>1768.33</v>
      </c>
      <c r="E58" s="31">
        <v>1960.13</v>
      </c>
      <c r="F58" s="31">
        <v>2473.7600000000002</v>
      </c>
      <c r="G58" s="31">
        <v>1390.85</v>
      </c>
      <c r="H58" s="31">
        <v>1415.62</v>
      </c>
      <c r="I58" s="31">
        <v>2053.08</v>
      </c>
      <c r="J58" s="31">
        <v>1564.63</v>
      </c>
      <c r="K58" s="31">
        <v>5135.07</v>
      </c>
      <c r="L58" s="31">
        <v>5831.79</v>
      </c>
      <c r="M58" s="31">
        <v>3615.88</v>
      </c>
      <c r="N58" s="31">
        <v>3268.14</v>
      </c>
      <c r="O58" s="8">
        <f t="shared" si="0"/>
        <v>32791.800000000003</v>
      </c>
      <c r="P58" s="1">
        <f t="shared" si="1"/>
        <v>12</v>
      </c>
      <c r="Q58" s="31">
        <f t="shared" si="2"/>
        <v>2732.65</v>
      </c>
    </row>
    <row r="59" spans="1:17">
      <c r="A59" s="4">
        <v>70081</v>
      </c>
      <c r="B59" s="1" t="s">
        <v>58</v>
      </c>
      <c r="C59" s="31">
        <v>34008.699999999997</v>
      </c>
      <c r="D59" s="31">
        <v>29040.82</v>
      </c>
      <c r="E59" s="31">
        <v>49211.89</v>
      </c>
      <c r="F59" s="31">
        <v>43728.160000000003</v>
      </c>
      <c r="G59" s="31">
        <v>29251.85</v>
      </c>
      <c r="H59" s="31">
        <v>19269.18</v>
      </c>
      <c r="I59" s="31">
        <v>19939.77</v>
      </c>
      <c r="J59" s="31">
        <v>25985.89</v>
      </c>
      <c r="K59" s="31">
        <v>36223.58</v>
      </c>
      <c r="L59" s="31">
        <v>42189.2</v>
      </c>
      <c r="M59" s="31">
        <v>41018.93</v>
      </c>
      <c r="N59" s="31">
        <v>41055.08</v>
      </c>
      <c r="O59" s="8">
        <f t="shared" si="0"/>
        <v>410923.05000000005</v>
      </c>
      <c r="P59" s="1">
        <f t="shared" si="1"/>
        <v>12</v>
      </c>
      <c r="Q59" s="31">
        <f t="shared" si="2"/>
        <v>34243.587500000001</v>
      </c>
    </row>
    <row r="60" spans="1:17">
      <c r="A60" s="4">
        <v>70082</v>
      </c>
      <c r="B60" s="1" t="s">
        <v>59</v>
      </c>
      <c r="C60" s="31">
        <v>3892.36</v>
      </c>
      <c r="D60" s="31">
        <v>3289.3</v>
      </c>
      <c r="E60" s="31">
        <v>2777.5</v>
      </c>
      <c r="F60" s="31">
        <v>3210.15</v>
      </c>
      <c r="G60" s="31">
        <v>2184.4</v>
      </c>
      <c r="H60" s="31">
        <v>2251.09</v>
      </c>
      <c r="I60" s="31">
        <v>1852.02</v>
      </c>
      <c r="J60" s="31">
        <v>2713.61</v>
      </c>
      <c r="K60" s="31">
        <v>2572.14</v>
      </c>
      <c r="L60" s="31">
        <v>3072.78</v>
      </c>
      <c r="M60" s="31">
        <v>2763.89</v>
      </c>
      <c r="N60" s="31">
        <v>3187.87</v>
      </c>
      <c r="O60" s="8">
        <f t="shared" si="0"/>
        <v>33767.11</v>
      </c>
      <c r="P60" s="1">
        <f t="shared" si="1"/>
        <v>12</v>
      </c>
      <c r="Q60" s="31">
        <f t="shared" si="2"/>
        <v>2813.9258333333332</v>
      </c>
    </row>
    <row r="61" spans="1:17">
      <c r="A61" s="4">
        <v>70084</v>
      </c>
      <c r="B61" s="1" t="s">
        <v>64</v>
      </c>
      <c r="C61" s="31">
        <v>4258.59</v>
      </c>
      <c r="D61" s="31">
        <v>2721.99</v>
      </c>
      <c r="E61" s="31">
        <v>2335.37</v>
      </c>
      <c r="F61" s="31">
        <v>3523.63</v>
      </c>
      <c r="G61" s="31">
        <v>2484.65</v>
      </c>
      <c r="H61" s="31">
        <v>2191.58</v>
      </c>
      <c r="I61" s="31">
        <v>1596.71</v>
      </c>
      <c r="J61" s="31">
        <v>2156.8000000000002</v>
      </c>
      <c r="K61" s="31">
        <v>3355</v>
      </c>
      <c r="L61" s="31">
        <v>4327.6099999999997</v>
      </c>
      <c r="M61" s="31">
        <v>4199.0200000000004</v>
      </c>
      <c r="O61" s="8">
        <f t="shared" si="0"/>
        <v>33150.949999999997</v>
      </c>
      <c r="P61" s="1">
        <f t="shared" si="1"/>
        <v>11</v>
      </c>
      <c r="Q61" s="31">
        <f t="shared" si="2"/>
        <v>3013.7227272727268</v>
      </c>
    </row>
    <row r="62" spans="1:17">
      <c r="A62" s="4">
        <v>70086</v>
      </c>
      <c r="B62" s="1" t="s">
        <v>85</v>
      </c>
      <c r="C62" s="31">
        <v>388.38</v>
      </c>
      <c r="D62" s="31">
        <v>117.36</v>
      </c>
      <c r="E62" s="31">
        <v>320.52</v>
      </c>
      <c r="F62" s="31">
        <v>470.23</v>
      </c>
      <c r="G62" s="31">
        <v>210.6</v>
      </c>
      <c r="H62" s="31">
        <v>232.04</v>
      </c>
      <c r="I62" s="31">
        <v>216</v>
      </c>
      <c r="J62" s="31">
        <v>318.7</v>
      </c>
      <c r="K62" s="31">
        <v>201.26</v>
      </c>
      <c r="L62" s="31">
        <v>360.06</v>
      </c>
      <c r="M62" s="31">
        <v>401.93</v>
      </c>
      <c r="N62" s="31">
        <v>284.19</v>
      </c>
      <c r="O62" s="8">
        <f t="shared" si="0"/>
        <v>3521.27</v>
      </c>
      <c r="P62" s="1">
        <f t="shared" si="1"/>
        <v>12</v>
      </c>
      <c r="Q62" s="31">
        <f t="shared" si="2"/>
        <v>293.43916666666667</v>
      </c>
    </row>
    <row r="63" spans="1:17">
      <c r="A63" s="4">
        <v>70087</v>
      </c>
      <c r="B63" s="1" t="s">
        <v>87</v>
      </c>
      <c r="C63" s="31"/>
      <c r="D63" s="31"/>
      <c r="E63" s="31"/>
      <c r="F63" s="31"/>
      <c r="G63" s="31"/>
      <c r="H63" s="31">
        <v>90906.880000000005</v>
      </c>
      <c r="I63" s="31">
        <v>1207.44</v>
      </c>
      <c r="J63" s="31">
        <v>1256.3399999999999</v>
      </c>
      <c r="K63" s="31">
        <v>932.82</v>
      </c>
      <c r="L63" s="31">
        <v>3127.26</v>
      </c>
      <c r="M63" s="31">
        <v>1401.96</v>
      </c>
      <c r="N63" s="31">
        <v>1120.98</v>
      </c>
      <c r="O63" s="8">
        <f t="shared" si="0"/>
        <v>99953.680000000008</v>
      </c>
      <c r="P63" s="1">
        <f t="shared" si="1"/>
        <v>7</v>
      </c>
      <c r="Q63" s="31">
        <f t="shared" si="2"/>
        <v>14279.097142857145</v>
      </c>
    </row>
    <row r="64" spans="1:17">
      <c r="A64" s="4">
        <v>70088</v>
      </c>
      <c r="B64" s="1" t="s">
        <v>88</v>
      </c>
      <c r="C64" s="31">
        <v>928.47</v>
      </c>
      <c r="D64" s="31">
        <v>583.64</v>
      </c>
      <c r="E64" s="31">
        <v>430.53</v>
      </c>
      <c r="F64" s="31">
        <v>761.28</v>
      </c>
      <c r="G64" s="31">
        <v>910.92</v>
      </c>
      <c r="H64" s="31">
        <v>283.85000000000002</v>
      </c>
      <c r="I64" s="31">
        <v>258.18</v>
      </c>
      <c r="J64" s="31">
        <v>583.5</v>
      </c>
      <c r="K64" s="31">
        <v>449.81</v>
      </c>
      <c r="L64" s="31">
        <v>838.18</v>
      </c>
      <c r="M64" s="31">
        <v>1081.31</v>
      </c>
      <c r="N64" s="31">
        <v>431.31</v>
      </c>
      <c r="O64" s="8">
        <f t="shared" si="0"/>
        <v>7540.9800000000005</v>
      </c>
      <c r="P64" s="1">
        <f t="shared" si="1"/>
        <v>12</v>
      </c>
      <c r="Q64" s="31">
        <f t="shared" si="2"/>
        <v>628.41500000000008</v>
      </c>
    </row>
    <row r="65" spans="1:17">
      <c r="A65" s="4">
        <v>70089</v>
      </c>
      <c r="B65" s="1" t="s">
        <v>89</v>
      </c>
      <c r="C65" s="31">
        <v>6296.65</v>
      </c>
      <c r="D65" s="31">
        <v>4665.22</v>
      </c>
      <c r="E65" s="31">
        <v>6454.39</v>
      </c>
      <c r="F65" s="31">
        <v>6187.74</v>
      </c>
      <c r="G65" s="31">
        <v>5026.6400000000003</v>
      </c>
      <c r="H65" s="31">
        <v>2610.4699999999998</v>
      </c>
      <c r="I65" s="31">
        <v>3490.17</v>
      </c>
      <c r="J65" s="31">
        <v>2754.07</v>
      </c>
      <c r="K65" s="31">
        <v>3184.42</v>
      </c>
      <c r="L65" s="31">
        <v>5722.59</v>
      </c>
      <c r="M65" s="31">
        <v>4639.72</v>
      </c>
      <c r="N65" s="31">
        <v>5783.33</v>
      </c>
      <c r="O65" s="8">
        <f t="shared" si="0"/>
        <v>56815.41</v>
      </c>
      <c r="P65" s="1">
        <f t="shared" si="1"/>
        <v>12</v>
      </c>
      <c r="Q65" s="31">
        <f t="shared" si="2"/>
        <v>4734.6175000000003</v>
      </c>
    </row>
    <row r="66" spans="1:17">
      <c r="A66" s="4">
        <v>70090</v>
      </c>
      <c r="B66" s="1" t="s">
        <v>90</v>
      </c>
      <c r="C66" s="31">
        <v>11603.97</v>
      </c>
      <c r="D66" s="31">
        <v>11341.5</v>
      </c>
      <c r="E66" s="31">
        <v>14064.73</v>
      </c>
      <c r="F66" s="31">
        <v>12554.16</v>
      </c>
      <c r="G66" s="31">
        <v>10765.31</v>
      </c>
      <c r="H66" s="31">
        <v>10004.83</v>
      </c>
      <c r="I66" s="31">
        <v>9908.83</v>
      </c>
      <c r="J66" s="31">
        <v>10026.65</v>
      </c>
      <c r="K66" s="31">
        <v>13484.02</v>
      </c>
      <c r="L66" s="31">
        <v>13145.46</v>
      </c>
      <c r="M66" s="31">
        <v>12728.73</v>
      </c>
      <c r="N66" s="31">
        <v>14892.46</v>
      </c>
      <c r="O66" s="8">
        <f t="shared" si="0"/>
        <v>144520.65</v>
      </c>
      <c r="P66" s="1">
        <f t="shared" si="1"/>
        <v>12</v>
      </c>
      <c r="Q66" s="31">
        <f t="shared" si="2"/>
        <v>12043.387499999999</v>
      </c>
    </row>
    <row r="67" spans="1:17">
      <c r="A67" s="4">
        <v>70091</v>
      </c>
      <c r="B67" s="1" t="s">
        <v>91</v>
      </c>
      <c r="C67" s="31">
        <v>11585.79</v>
      </c>
      <c r="D67" s="31">
        <v>11131</v>
      </c>
      <c r="E67" s="31">
        <v>14386.73</v>
      </c>
      <c r="F67" s="31">
        <v>13734.36</v>
      </c>
      <c r="G67" s="31">
        <v>9950.7800000000007</v>
      </c>
      <c r="H67" s="31">
        <v>7998.86</v>
      </c>
      <c r="I67" s="31">
        <v>6378.63</v>
      </c>
      <c r="J67" s="31">
        <v>9505.91</v>
      </c>
      <c r="K67" s="31">
        <v>12356.68</v>
      </c>
      <c r="L67" s="31">
        <v>13857.79</v>
      </c>
      <c r="M67" s="31">
        <v>13323.06</v>
      </c>
      <c r="N67" s="31">
        <v>14254.19</v>
      </c>
      <c r="O67" s="8">
        <f t="shared" ref="O67:O72" si="3">+SUM(C67:N67)</f>
        <v>138463.78000000003</v>
      </c>
      <c r="P67" s="1">
        <f t="shared" ref="P67:P72" si="4">+COUNT(C67:N67)</f>
        <v>12</v>
      </c>
      <c r="Q67" s="31">
        <f>+O67/P67</f>
        <v>11538.648333333336</v>
      </c>
    </row>
    <row r="68" spans="1:17">
      <c r="A68" s="4">
        <v>70092</v>
      </c>
      <c r="B68" s="1" t="s">
        <v>93</v>
      </c>
      <c r="C68" s="31">
        <v>11691.24</v>
      </c>
      <c r="D68" s="31">
        <v>9210.5</v>
      </c>
      <c r="E68" s="31">
        <v>9077.56</v>
      </c>
      <c r="F68" s="31">
        <v>13441.65</v>
      </c>
      <c r="G68" s="31">
        <v>9004.0300000000007</v>
      </c>
      <c r="H68" s="31">
        <v>7454.24</v>
      </c>
      <c r="I68" s="31">
        <v>6887.47</v>
      </c>
      <c r="J68" s="31">
        <v>7744.02</v>
      </c>
      <c r="K68" s="31">
        <v>10256.82</v>
      </c>
      <c r="L68" s="31">
        <v>11920.84</v>
      </c>
      <c r="M68" s="31">
        <v>11921.89</v>
      </c>
      <c r="N68" s="31">
        <v>10469.27</v>
      </c>
      <c r="O68" s="8">
        <f t="shared" si="3"/>
        <v>119079.53</v>
      </c>
      <c r="P68" s="1">
        <f t="shared" si="4"/>
        <v>12</v>
      </c>
      <c r="Q68" s="31">
        <f>+O68/P68</f>
        <v>9923.2941666666666</v>
      </c>
    </row>
    <row r="69" spans="1:17">
      <c r="A69" s="4">
        <v>70093</v>
      </c>
      <c r="B69" s="1" t="s">
        <v>94</v>
      </c>
      <c r="C69" s="31">
        <v>4347.8599999999997</v>
      </c>
      <c r="D69" s="31">
        <v>4159.38</v>
      </c>
      <c r="E69" s="31">
        <v>3989.46</v>
      </c>
      <c r="F69" s="31">
        <v>4330.04</v>
      </c>
      <c r="G69" s="31">
        <v>3379.98</v>
      </c>
      <c r="H69" s="31">
        <v>1221.45</v>
      </c>
      <c r="I69" s="31">
        <v>1666.47</v>
      </c>
      <c r="J69" s="31">
        <v>1283.02</v>
      </c>
      <c r="K69" s="31">
        <v>2243.54</v>
      </c>
      <c r="L69" s="31">
        <v>2424.63</v>
      </c>
      <c r="M69" s="31">
        <v>2217</v>
      </c>
      <c r="N69" s="31">
        <v>2302.3000000000002</v>
      </c>
      <c r="O69" s="8">
        <f t="shared" si="3"/>
        <v>33565.130000000005</v>
      </c>
      <c r="P69" s="1">
        <f t="shared" si="4"/>
        <v>12</v>
      </c>
      <c r="Q69" s="31">
        <f>+O69/P69</f>
        <v>2797.0941666666672</v>
      </c>
    </row>
    <row r="70" spans="1:17">
      <c r="A70" s="4">
        <v>70094</v>
      </c>
      <c r="B70" s="1" t="s">
        <v>95</v>
      </c>
      <c r="C70" s="31">
        <v>750.36</v>
      </c>
      <c r="D70" s="31">
        <v>352.86</v>
      </c>
      <c r="E70" s="31">
        <v>561.41999999999996</v>
      </c>
      <c r="F70" s="31">
        <v>986.52</v>
      </c>
      <c r="G70" s="31">
        <v>296.04000000000002</v>
      </c>
      <c r="H70" s="31">
        <v>495.87</v>
      </c>
      <c r="I70" s="31">
        <v>326.64</v>
      </c>
      <c r="J70" s="31">
        <v>167.4</v>
      </c>
      <c r="K70" s="31">
        <v>399.84</v>
      </c>
      <c r="L70" s="31">
        <v>992.04</v>
      </c>
      <c r="M70" s="31">
        <v>234.66</v>
      </c>
      <c r="N70" s="31">
        <v>294.87</v>
      </c>
      <c r="O70" s="8">
        <f t="shared" si="3"/>
        <v>5858.5199999999995</v>
      </c>
      <c r="P70" s="1">
        <f t="shared" si="4"/>
        <v>12</v>
      </c>
      <c r="Q70" s="31">
        <f>+O70/P70</f>
        <v>488.21</v>
      </c>
    </row>
    <row r="71" spans="1:17">
      <c r="A71" s="4">
        <v>70095</v>
      </c>
      <c r="B71" s="1" t="s">
        <v>48</v>
      </c>
      <c r="C71" s="31"/>
      <c r="D71" s="31"/>
      <c r="E71" s="31"/>
      <c r="F71" s="31"/>
      <c r="G71" s="31"/>
      <c r="H71" s="31">
        <v>300.226</v>
      </c>
      <c r="I71" s="31">
        <v>1546.82</v>
      </c>
      <c r="J71" s="31">
        <v>5347.69</v>
      </c>
      <c r="K71" s="31">
        <v>5993.69</v>
      </c>
      <c r="L71" s="31">
        <v>10137.94</v>
      </c>
      <c r="M71" s="31">
        <v>9428.2000000000007</v>
      </c>
      <c r="N71" s="31">
        <v>10387.14</v>
      </c>
      <c r="O71" s="8">
        <f t="shared" si="3"/>
        <v>43141.706000000006</v>
      </c>
      <c r="P71" s="1">
        <f t="shared" si="4"/>
        <v>7</v>
      </c>
      <c r="Q71" s="31">
        <f>+O71/P71</f>
        <v>6163.1008571428583</v>
      </c>
    </row>
    <row r="72" spans="1:17">
      <c r="A72" s="21">
        <v>70096</v>
      </c>
      <c r="B72" s="22" t="s">
        <v>96</v>
      </c>
      <c r="C72" s="34"/>
      <c r="D72" s="34"/>
      <c r="E72" s="34"/>
      <c r="F72" s="34"/>
      <c r="G72" s="34"/>
      <c r="H72" s="34"/>
      <c r="I72" s="22"/>
      <c r="J72" s="22"/>
      <c r="K72" s="22"/>
      <c r="L72" s="22"/>
      <c r="M72" s="22"/>
      <c r="N72" s="22"/>
      <c r="O72" s="33">
        <f t="shared" si="3"/>
        <v>0</v>
      </c>
      <c r="P72" s="22">
        <f t="shared" si="4"/>
        <v>0</v>
      </c>
      <c r="Q72" s="34"/>
    </row>
    <row r="73" spans="1:17">
      <c r="A73" s="4"/>
      <c r="C73" s="31"/>
      <c r="D73" s="31"/>
      <c r="E73" s="31"/>
      <c r="F73" s="31"/>
      <c r="G73" s="31"/>
      <c r="H73" s="31"/>
    </row>
    <row r="74" spans="1:17">
      <c r="B74" s="1" t="s">
        <v>140</v>
      </c>
      <c r="C74" s="31">
        <f>+SUM(C2:C72)</f>
        <v>657269.04999999981</v>
      </c>
      <c r="D74" s="31">
        <f t="shared" ref="D74:O74" si="5">+SUM(D2:D72)</f>
        <v>552017.77999999991</v>
      </c>
      <c r="E74" s="31">
        <f t="shared" si="5"/>
        <v>585119.81000000006</v>
      </c>
      <c r="F74" s="31">
        <f t="shared" si="5"/>
        <v>765471.87000000011</v>
      </c>
      <c r="G74" s="31">
        <f t="shared" si="5"/>
        <v>579481.23000000033</v>
      </c>
      <c r="H74" s="31">
        <f t="shared" si="5"/>
        <v>483614.70600000018</v>
      </c>
      <c r="I74" s="31">
        <f t="shared" si="5"/>
        <v>349118.35000000003</v>
      </c>
      <c r="J74" s="31">
        <f t="shared" si="5"/>
        <v>432721.97000000009</v>
      </c>
      <c r="K74" s="31">
        <f t="shared" si="5"/>
        <v>538428.08999999985</v>
      </c>
      <c r="L74" s="31">
        <f t="shared" si="5"/>
        <v>690297.15000000014</v>
      </c>
      <c r="M74" s="31">
        <f t="shared" si="5"/>
        <v>667661.94000000006</v>
      </c>
      <c r="N74" s="31">
        <f t="shared" si="5"/>
        <v>631708.76999999979</v>
      </c>
      <c r="O74" s="31">
        <f t="shared" si="5"/>
        <v>6932910.7159999991</v>
      </c>
      <c r="P74" s="31"/>
      <c r="Q74" s="31">
        <f>+O74/12</f>
        <v>577742.55966666655</v>
      </c>
    </row>
  </sheetData>
  <phoneticPr fontId="0" type="noConversion"/>
  <printOptions horizontalCentered="1"/>
  <pageMargins left="0.25" right="0.25" top="1" bottom="0.75" header="0.5" footer="0.5"/>
  <pageSetup scale="69" fitToHeight="2" orientation="landscape" r:id="rId1"/>
  <headerFooter alignWithMargins="0">
    <oddHeader>&amp;C&amp;"Arial,Bold"&amp;22Occupancy Tax Receipts
Fiscal Year 2005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76"/>
  <sheetViews>
    <sheetView topLeftCell="A37" workbookViewId="0">
      <selection activeCell="B68" sqref="B68"/>
    </sheetView>
  </sheetViews>
  <sheetFormatPr defaultColWidth="9.08984375" defaultRowHeight="10"/>
  <cols>
    <col min="1" max="1" width="7.54296875" style="1" bestFit="1" customWidth="1"/>
    <col min="2" max="2" width="29.08984375" style="1" bestFit="1" customWidth="1"/>
    <col min="3" max="3" width="12" style="1" bestFit="1" customWidth="1"/>
    <col min="4" max="14" width="10.6328125" style="1" bestFit="1" customWidth="1"/>
    <col min="15" max="15" width="12" style="1" bestFit="1" customWidth="1"/>
    <col min="16" max="16" width="11.36328125" style="1" hidden="1" customWidth="1"/>
    <col min="17" max="17" width="10.6328125" style="1" bestFit="1" customWidth="1"/>
    <col min="18" max="16384" width="9.08984375" style="1"/>
  </cols>
  <sheetData>
    <row r="1" spans="1:17" s="17" customFormat="1" ht="21">
      <c r="A1" s="14" t="s">
        <v>82</v>
      </c>
      <c r="B1" s="15" t="s">
        <v>0</v>
      </c>
      <c r="C1" s="16" t="s">
        <v>197</v>
      </c>
      <c r="D1" s="16" t="s">
        <v>198</v>
      </c>
      <c r="E1" s="16" t="s">
        <v>199</v>
      </c>
      <c r="F1" s="16" t="s">
        <v>200</v>
      </c>
      <c r="G1" s="16" t="s">
        <v>201</v>
      </c>
      <c r="H1" s="16" t="s">
        <v>202</v>
      </c>
      <c r="I1" s="18" t="s">
        <v>191</v>
      </c>
      <c r="J1" s="18" t="s">
        <v>192</v>
      </c>
      <c r="K1" s="19" t="s">
        <v>193</v>
      </c>
      <c r="L1" s="18" t="s">
        <v>194</v>
      </c>
      <c r="M1" s="18" t="s">
        <v>195</v>
      </c>
      <c r="N1" s="18" t="s">
        <v>196</v>
      </c>
      <c r="O1" s="26" t="s">
        <v>143</v>
      </c>
      <c r="P1" s="26"/>
      <c r="Q1" s="26" t="s">
        <v>142</v>
      </c>
    </row>
    <row r="2" spans="1:17">
      <c r="A2" s="4">
        <v>70000</v>
      </c>
      <c r="B2" s="1" t="s">
        <v>4</v>
      </c>
      <c r="C2" s="31">
        <v>750.46</v>
      </c>
      <c r="D2" s="31">
        <v>814</v>
      </c>
      <c r="E2" s="31">
        <v>867.72</v>
      </c>
      <c r="F2" s="31">
        <v>747.44</v>
      </c>
      <c r="G2" s="31">
        <v>798</v>
      </c>
      <c r="H2" s="31">
        <v>723.25</v>
      </c>
      <c r="I2" s="31">
        <v>639.41</v>
      </c>
      <c r="J2" s="31">
        <v>607.96</v>
      </c>
      <c r="K2" s="31">
        <v>755.23</v>
      </c>
      <c r="L2" s="31">
        <v>957.4</v>
      </c>
      <c r="M2" s="31">
        <v>955.92</v>
      </c>
      <c r="N2" s="31">
        <v>907.8</v>
      </c>
      <c r="O2" s="31">
        <f>SUM(C2:N2)</f>
        <v>9524.59</v>
      </c>
      <c r="P2" s="1">
        <f>+COUNT(C2:N2)</f>
        <v>12</v>
      </c>
      <c r="Q2" s="31">
        <f>+O2/P2</f>
        <v>793.71583333333331</v>
      </c>
    </row>
    <row r="3" spans="1:17">
      <c r="A3" s="4">
        <v>70001</v>
      </c>
      <c r="B3" s="1" t="s">
        <v>92</v>
      </c>
      <c r="C3" s="31">
        <v>27894.7</v>
      </c>
      <c r="D3" s="31">
        <v>17692.87</v>
      </c>
      <c r="E3" s="31">
        <v>26122.49</v>
      </c>
      <c r="F3" s="31">
        <v>35849.17</v>
      </c>
      <c r="G3" s="31">
        <v>16774.78</v>
      </c>
      <c r="H3" s="31">
        <v>13529.75</v>
      </c>
      <c r="I3" s="31">
        <v>10333.02</v>
      </c>
      <c r="J3" s="31">
        <v>13660.18</v>
      </c>
      <c r="K3" s="31">
        <v>19157.87</v>
      </c>
      <c r="L3" s="31">
        <v>33833.120000000003</v>
      </c>
      <c r="M3" s="31">
        <v>25342.05</v>
      </c>
      <c r="N3" s="31">
        <v>20850.95</v>
      </c>
      <c r="O3" s="31">
        <f t="shared" ref="O3:O66" si="0">SUM(C3:N3)</f>
        <v>261040.94999999998</v>
      </c>
      <c r="P3" s="1">
        <f t="shared" ref="P3:P66" si="1">+COUNT(C3:N3)</f>
        <v>12</v>
      </c>
      <c r="Q3" s="31">
        <f t="shared" ref="Q3:Q66" si="2">+O3/P3</f>
        <v>21753.412499999999</v>
      </c>
    </row>
    <row r="4" spans="1:17">
      <c r="A4" s="4">
        <v>70002</v>
      </c>
      <c r="B4" s="1" t="s">
        <v>6</v>
      </c>
      <c r="C4" s="31">
        <v>3117.79</v>
      </c>
      <c r="D4" s="31">
        <v>2832.66</v>
      </c>
      <c r="E4" s="32">
        <v>2791.54</v>
      </c>
      <c r="F4" s="31">
        <v>2726.19</v>
      </c>
      <c r="G4" s="31">
        <v>2322.64</v>
      </c>
      <c r="H4" s="31">
        <v>1900.33</v>
      </c>
      <c r="I4" s="31">
        <v>2015.57</v>
      </c>
      <c r="J4" s="31">
        <v>1886.6</v>
      </c>
      <c r="K4" s="31">
        <v>2473.9899999999998</v>
      </c>
      <c r="L4" s="31">
        <v>2326.58</v>
      </c>
      <c r="M4" s="31">
        <v>2022.01</v>
      </c>
      <c r="N4" s="31">
        <v>3388.41</v>
      </c>
      <c r="O4" s="31">
        <f t="shared" si="0"/>
        <v>29804.309999999998</v>
      </c>
      <c r="P4" s="1">
        <f t="shared" si="1"/>
        <v>12</v>
      </c>
      <c r="Q4" s="31">
        <f t="shared" si="2"/>
        <v>2483.6924999999997</v>
      </c>
    </row>
    <row r="5" spans="1:17">
      <c r="A5" s="4">
        <v>70003</v>
      </c>
      <c r="B5" s="1" t="s">
        <v>7</v>
      </c>
      <c r="C5" s="31">
        <v>1101.83</v>
      </c>
      <c r="D5" s="31">
        <v>1047.6099999999999</v>
      </c>
      <c r="E5" s="31">
        <v>1212.75</v>
      </c>
      <c r="F5" s="31">
        <v>1288.9100000000001</v>
      </c>
      <c r="G5" s="31">
        <v>1301.07</v>
      </c>
      <c r="H5" s="31">
        <v>1003.93</v>
      </c>
      <c r="I5" s="31">
        <v>1186.5999999999999</v>
      </c>
      <c r="J5" s="31">
        <v>1352.85</v>
      </c>
      <c r="K5" s="31">
        <v>1393.99</v>
      </c>
      <c r="L5" s="31">
        <v>1405.79</v>
      </c>
      <c r="M5" s="31">
        <v>1451.27</v>
      </c>
      <c r="N5" s="31">
        <v>1369.01</v>
      </c>
      <c r="O5" s="31">
        <f t="shared" si="0"/>
        <v>15115.609999999999</v>
      </c>
      <c r="P5" s="1">
        <f t="shared" si="1"/>
        <v>12</v>
      </c>
      <c r="Q5" s="31">
        <f t="shared" si="2"/>
        <v>1259.6341666666665</v>
      </c>
    </row>
    <row r="6" spans="1:17">
      <c r="A6" s="4">
        <v>70004</v>
      </c>
      <c r="B6" s="1" t="s">
        <v>8</v>
      </c>
      <c r="C6" s="31"/>
      <c r="D6" s="31"/>
      <c r="E6" s="31"/>
      <c r="F6" s="31"/>
      <c r="G6" s="31"/>
      <c r="I6" s="31"/>
      <c r="K6" s="31"/>
      <c r="L6" s="31"/>
      <c r="O6" s="31">
        <f t="shared" si="0"/>
        <v>0</v>
      </c>
      <c r="P6" s="1">
        <f t="shared" si="1"/>
        <v>0</v>
      </c>
      <c r="Q6" s="31"/>
    </row>
    <row r="7" spans="1:17">
      <c r="A7" s="4">
        <v>70006</v>
      </c>
      <c r="B7" s="1" t="s">
        <v>9</v>
      </c>
      <c r="C7" s="31">
        <v>3576.64</v>
      </c>
      <c r="D7" s="31">
        <v>2624.26</v>
      </c>
      <c r="E7" s="31">
        <v>2183.87</v>
      </c>
      <c r="F7" s="31">
        <v>2875.75</v>
      </c>
      <c r="G7" s="31">
        <v>1765.95</v>
      </c>
      <c r="H7" s="31">
        <v>1245.98</v>
      </c>
      <c r="I7" s="31">
        <v>1230.54</v>
      </c>
      <c r="J7" s="31">
        <v>1434.85</v>
      </c>
      <c r="K7" s="31">
        <v>2731.3</v>
      </c>
      <c r="L7" s="31">
        <v>3610.87</v>
      </c>
      <c r="M7" s="31">
        <v>3152.98</v>
      </c>
      <c r="N7" s="31">
        <v>2819.27</v>
      </c>
      <c r="O7" s="31">
        <f t="shared" si="0"/>
        <v>29252.26</v>
      </c>
      <c r="P7" s="1">
        <f t="shared" si="1"/>
        <v>12</v>
      </c>
      <c r="Q7" s="31">
        <f t="shared" si="2"/>
        <v>2437.688333333333</v>
      </c>
    </row>
    <row r="8" spans="1:17">
      <c r="A8" s="4">
        <v>70007</v>
      </c>
      <c r="B8" s="1" t="s">
        <v>10</v>
      </c>
      <c r="C8" s="31">
        <v>279</v>
      </c>
      <c r="D8" s="31">
        <v>282</v>
      </c>
      <c r="E8" s="31">
        <v>295.5</v>
      </c>
      <c r="F8" s="31">
        <v>280.5</v>
      </c>
      <c r="G8" s="31">
        <v>249</v>
      </c>
      <c r="H8" s="31">
        <v>217.5</v>
      </c>
      <c r="I8" s="31">
        <v>210</v>
      </c>
      <c r="J8" s="31">
        <v>217.5</v>
      </c>
      <c r="K8" s="31">
        <v>226.5</v>
      </c>
      <c r="L8" s="31">
        <v>243</v>
      </c>
      <c r="M8" s="31">
        <v>256.5</v>
      </c>
      <c r="N8" s="31">
        <v>261</v>
      </c>
      <c r="O8" s="31">
        <f t="shared" si="0"/>
        <v>3018</v>
      </c>
      <c r="P8" s="1">
        <f t="shared" si="1"/>
        <v>12</v>
      </c>
      <c r="Q8" s="31">
        <f t="shared" si="2"/>
        <v>251.5</v>
      </c>
    </row>
    <row r="9" spans="1:17">
      <c r="A9" s="4">
        <v>70008</v>
      </c>
      <c r="B9" s="1" t="s">
        <v>11</v>
      </c>
      <c r="C9" s="31">
        <v>3373.14</v>
      </c>
      <c r="D9" s="31">
        <v>2330.44</v>
      </c>
      <c r="E9" s="31">
        <v>1943</v>
      </c>
      <c r="F9" s="31">
        <v>2444.16</v>
      </c>
      <c r="G9" s="31">
        <v>1695.3</v>
      </c>
      <c r="H9" s="31">
        <v>1620.42</v>
      </c>
      <c r="I9" s="31">
        <v>1562.28</v>
      </c>
      <c r="J9" s="31">
        <v>1854.48</v>
      </c>
      <c r="K9" s="31">
        <v>2475.3000000000002</v>
      </c>
      <c r="L9" s="31">
        <v>3170.25</v>
      </c>
      <c r="M9" s="31">
        <v>2745.3</v>
      </c>
      <c r="N9" s="31">
        <v>2752.8</v>
      </c>
      <c r="O9" s="31">
        <f t="shared" si="0"/>
        <v>27966.87</v>
      </c>
      <c r="P9" s="1">
        <f t="shared" si="1"/>
        <v>12</v>
      </c>
      <c r="Q9" s="31">
        <f t="shared" si="2"/>
        <v>2330.5724999999998</v>
      </c>
    </row>
    <row r="10" spans="1:17">
      <c r="A10" s="4" t="s">
        <v>12</v>
      </c>
      <c r="B10" s="1" t="s">
        <v>13</v>
      </c>
      <c r="C10" s="31">
        <v>3514.96</v>
      </c>
      <c r="D10" s="31">
        <v>2477.4899999999998</v>
      </c>
      <c r="E10" s="31">
        <v>4871.3900000000003</v>
      </c>
      <c r="F10" s="31">
        <v>6314.25</v>
      </c>
      <c r="G10" s="31">
        <v>3745.99</v>
      </c>
      <c r="H10" s="31">
        <v>3174.6</v>
      </c>
      <c r="I10" s="31">
        <v>2854.59</v>
      </c>
      <c r="J10" s="31">
        <v>3036.54</v>
      </c>
      <c r="K10" s="31">
        <v>4490.9799999999996</v>
      </c>
      <c r="L10" s="31">
        <v>7041.96</v>
      </c>
      <c r="M10" s="31">
        <v>4853.6499999999996</v>
      </c>
      <c r="N10" s="31">
        <v>4164.45</v>
      </c>
      <c r="O10" s="31">
        <f t="shared" si="0"/>
        <v>50540.85</v>
      </c>
      <c r="P10" s="1">
        <f t="shared" si="1"/>
        <v>12</v>
      </c>
      <c r="Q10" s="31">
        <f t="shared" si="2"/>
        <v>4211.7375000000002</v>
      </c>
    </row>
    <row r="11" spans="1:17">
      <c r="A11" s="4">
        <v>70014</v>
      </c>
      <c r="B11" s="1" t="s">
        <v>14</v>
      </c>
      <c r="C11" s="31">
        <v>15943.35</v>
      </c>
      <c r="D11" s="31">
        <v>15426.71</v>
      </c>
      <c r="E11" s="31">
        <v>14445.3</v>
      </c>
      <c r="F11" s="31">
        <v>15954.02</v>
      </c>
      <c r="G11" s="31">
        <v>13291.17</v>
      </c>
      <c r="H11" s="31">
        <v>9676.16</v>
      </c>
      <c r="I11" s="31">
        <v>11193.11</v>
      </c>
      <c r="J11" s="31">
        <v>10940.4</v>
      </c>
      <c r="K11" s="7"/>
      <c r="L11" s="35"/>
      <c r="M11" s="35"/>
      <c r="N11" s="31"/>
      <c r="O11" s="31">
        <f t="shared" si="0"/>
        <v>106870.22</v>
      </c>
      <c r="P11" s="1">
        <f t="shared" si="1"/>
        <v>8</v>
      </c>
      <c r="Q11" s="31">
        <f t="shared" si="2"/>
        <v>13358.7775</v>
      </c>
    </row>
    <row r="12" spans="1:17">
      <c r="A12" s="4" t="s">
        <v>73</v>
      </c>
      <c r="B12" s="1" t="s">
        <v>63</v>
      </c>
      <c r="C12" s="31">
        <v>9247.85</v>
      </c>
      <c r="D12" s="31">
        <v>7096.74</v>
      </c>
      <c r="E12" s="31">
        <v>5057.6499999999996</v>
      </c>
      <c r="F12" s="31">
        <v>10302.709999999999</v>
      </c>
      <c r="G12" s="31">
        <v>5984.18</v>
      </c>
      <c r="H12" s="31">
        <v>3622.12</v>
      </c>
      <c r="I12" s="31">
        <v>3139.58</v>
      </c>
      <c r="J12" s="31">
        <v>3946.35</v>
      </c>
      <c r="K12" s="31">
        <v>5978.49</v>
      </c>
      <c r="L12" s="31">
        <v>9349.02</v>
      </c>
      <c r="M12" s="31">
        <v>9975.18</v>
      </c>
      <c r="N12" s="31">
        <v>8200.2800000000007</v>
      </c>
      <c r="O12" s="31">
        <f t="shared" si="0"/>
        <v>81900.149999999994</v>
      </c>
      <c r="P12" s="1">
        <f t="shared" si="1"/>
        <v>12</v>
      </c>
      <c r="Q12" s="31">
        <f t="shared" si="2"/>
        <v>6825.0124999999998</v>
      </c>
    </row>
    <row r="13" spans="1:17">
      <c r="A13" s="4" t="s">
        <v>75</v>
      </c>
      <c r="B13" s="1" t="s">
        <v>74</v>
      </c>
      <c r="C13" s="31">
        <v>15340.59</v>
      </c>
      <c r="D13" s="31">
        <v>16611.400000000001</v>
      </c>
      <c r="E13" s="31">
        <v>15020.8</v>
      </c>
      <c r="F13" s="31">
        <v>13890.71</v>
      </c>
      <c r="G13" s="31">
        <v>8535.7999999999993</v>
      </c>
      <c r="H13" s="31">
        <v>5512.6</v>
      </c>
      <c r="I13" s="31">
        <v>4864.59</v>
      </c>
      <c r="J13" s="31">
        <v>6499.82</v>
      </c>
      <c r="K13" s="31">
        <v>8415.33</v>
      </c>
      <c r="L13" s="31">
        <v>13458.87</v>
      </c>
      <c r="M13" s="31">
        <v>14544.09</v>
      </c>
      <c r="N13" s="31">
        <v>15007.2</v>
      </c>
      <c r="O13" s="31">
        <f t="shared" si="0"/>
        <v>137701.79999999999</v>
      </c>
      <c r="P13" s="1">
        <f t="shared" si="1"/>
        <v>12</v>
      </c>
      <c r="Q13" s="31">
        <f t="shared" si="2"/>
        <v>11475.15</v>
      </c>
    </row>
    <row r="14" spans="1:17">
      <c r="A14" s="4">
        <v>70017</v>
      </c>
      <c r="B14" s="1" t="s">
        <v>15</v>
      </c>
      <c r="C14" s="31">
        <v>28446.799999999999</v>
      </c>
      <c r="D14" s="31">
        <v>26983.84</v>
      </c>
      <c r="E14" s="31">
        <v>29867.11</v>
      </c>
      <c r="F14" s="31">
        <v>32439.17</v>
      </c>
      <c r="G14" s="31">
        <v>27542.36</v>
      </c>
      <c r="H14" s="31">
        <v>22088.01</v>
      </c>
      <c r="I14" s="31">
        <v>21619.18</v>
      </c>
      <c r="J14" s="31">
        <v>20451.099999999999</v>
      </c>
      <c r="K14" s="31">
        <v>24346.73</v>
      </c>
      <c r="L14" s="31">
        <v>31417.78</v>
      </c>
      <c r="M14" s="31">
        <v>30375.17</v>
      </c>
      <c r="N14" s="31">
        <v>26578.97</v>
      </c>
      <c r="O14" s="31">
        <f t="shared" si="0"/>
        <v>322156.21999999997</v>
      </c>
      <c r="P14" s="1">
        <f t="shared" si="1"/>
        <v>12</v>
      </c>
      <c r="Q14" s="31">
        <f t="shared" si="2"/>
        <v>26846.351666666666</v>
      </c>
    </row>
    <row r="15" spans="1:17">
      <c r="A15" s="4">
        <v>70018</v>
      </c>
      <c r="B15" s="1" t="s">
        <v>16</v>
      </c>
      <c r="C15" s="31">
        <v>33206.54</v>
      </c>
      <c r="D15" s="31">
        <v>27011.43</v>
      </c>
      <c r="E15" s="31">
        <v>26048.47</v>
      </c>
      <c r="F15" s="31">
        <v>33522.71</v>
      </c>
      <c r="G15" s="31">
        <v>18355.98</v>
      </c>
      <c r="H15" s="31">
        <v>12422.06</v>
      </c>
      <c r="I15" s="31">
        <v>14403.49</v>
      </c>
      <c r="J15" s="31">
        <v>15345.98</v>
      </c>
      <c r="K15" s="31">
        <v>23826.44</v>
      </c>
      <c r="L15" s="31">
        <v>33586.050000000003</v>
      </c>
      <c r="M15" s="31">
        <v>27239.35</v>
      </c>
      <c r="N15" s="31">
        <v>27599.089</v>
      </c>
      <c r="O15" s="31">
        <f t="shared" si="0"/>
        <v>292567.58899999998</v>
      </c>
      <c r="P15" s="1">
        <f t="shared" si="1"/>
        <v>12</v>
      </c>
      <c r="Q15" s="31">
        <f t="shared" si="2"/>
        <v>24380.632416666664</v>
      </c>
    </row>
    <row r="16" spans="1:17">
      <c r="A16" s="4">
        <v>70019</v>
      </c>
      <c r="B16" s="1" t="s">
        <v>17</v>
      </c>
      <c r="C16" s="31">
        <v>13610.06</v>
      </c>
      <c r="D16" s="31">
        <v>9418.8799999999992</v>
      </c>
      <c r="E16" s="31">
        <v>9207.74</v>
      </c>
      <c r="F16" s="31">
        <v>11265.01</v>
      </c>
      <c r="G16" s="31">
        <v>7304.7</v>
      </c>
      <c r="H16" s="31">
        <v>5776.95</v>
      </c>
      <c r="I16" s="31">
        <v>6142.25</v>
      </c>
      <c r="J16" s="31">
        <v>6575.65</v>
      </c>
      <c r="K16" s="31">
        <v>10784.66</v>
      </c>
      <c r="L16" s="31">
        <v>12570.98</v>
      </c>
      <c r="M16" s="31">
        <v>11031.36</v>
      </c>
      <c r="N16" s="31">
        <v>11059.46</v>
      </c>
      <c r="O16" s="31">
        <f t="shared" si="0"/>
        <v>114747.69999999998</v>
      </c>
      <c r="P16" s="1">
        <f t="shared" si="1"/>
        <v>12</v>
      </c>
      <c r="Q16" s="31">
        <f t="shared" si="2"/>
        <v>9562.3083333333325</v>
      </c>
    </row>
    <row r="17" spans="1:17">
      <c r="A17" s="4">
        <v>70020</v>
      </c>
      <c r="B17" s="1" t="s">
        <v>18</v>
      </c>
      <c r="C17" s="31">
        <v>7758.18</v>
      </c>
      <c r="D17" s="31">
        <v>8065.43</v>
      </c>
      <c r="E17" s="31">
        <v>7649.14</v>
      </c>
      <c r="F17" s="31">
        <v>6976.38</v>
      </c>
      <c r="G17" s="31">
        <v>6398.4</v>
      </c>
      <c r="H17" s="31">
        <v>5915.05</v>
      </c>
      <c r="I17" s="31">
        <v>4862.38</v>
      </c>
      <c r="J17" s="31">
        <v>6965.79</v>
      </c>
      <c r="K17" s="7">
        <v>8641.85</v>
      </c>
      <c r="L17" s="31">
        <v>9674.3700000000008</v>
      </c>
      <c r="M17" s="31">
        <v>7191.27</v>
      </c>
      <c r="N17" s="31">
        <v>10458.57</v>
      </c>
      <c r="O17" s="31">
        <f t="shared" si="0"/>
        <v>90556.81</v>
      </c>
      <c r="P17" s="1">
        <f t="shared" si="1"/>
        <v>12</v>
      </c>
      <c r="Q17" s="31">
        <f t="shared" si="2"/>
        <v>7546.4008333333331</v>
      </c>
    </row>
    <row r="18" spans="1:17">
      <c r="A18" s="4">
        <v>70021</v>
      </c>
      <c r="B18" s="1" t="s">
        <v>60</v>
      </c>
      <c r="C18" s="31">
        <v>32949.06</v>
      </c>
      <c r="D18" s="31">
        <v>31436.82</v>
      </c>
      <c r="E18" s="31">
        <v>29797.56</v>
      </c>
      <c r="F18" s="31">
        <v>48184.800000000003</v>
      </c>
      <c r="G18" s="31">
        <v>29286.720000000001</v>
      </c>
      <c r="H18" s="31">
        <v>27915.360000000001</v>
      </c>
      <c r="I18" s="31">
        <v>22861.26</v>
      </c>
      <c r="J18" s="31">
        <v>33567</v>
      </c>
      <c r="K18" s="31">
        <v>38821.199999999997</v>
      </c>
      <c r="L18" s="31">
        <v>48577.64</v>
      </c>
      <c r="M18" s="31">
        <v>41792.76</v>
      </c>
      <c r="N18" s="31">
        <v>30249.06</v>
      </c>
      <c r="O18" s="31">
        <f t="shared" si="0"/>
        <v>415439.24000000005</v>
      </c>
      <c r="P18" s="1">
        <f t="shared" si="1"/>
        <v>12</v>
      </c>
      <c r="Q18" s="31">
        <f t="shared" si="2"/>
        <v>34619.936666666668</v>
      </c>
    </row>
    <row r="19" spans="1:17">
      <c r="A19" s="4">
        <v>70022</v>
      </c>
      <c r="B19" s="1" t="s">
        <v>19</v>
      </c>
      <c r="C19" s="31">
        <v>2069.5700000000002</v>
      </c>
      <c r="D19" s="31">
        <v>1701.34</v>
      </c>
      <c r="E19" s="31">
        <v>1661.01</v>
      </c>
      <c r="F19" s="31">
        <v>2065</v>
      </c>
      <c r="G19" s="31">
        <v>1099.58</v>
      </c>
      <c r="H19" s="31">
        <v>942.51</v>
      </c>
      <c r="I19" s="31">
        <v>1080</v>
      </c>
      <c r="J19" s="31">
        <v>649.51</v>
      </c>
      <c r="K19" s="31">
        <v>1017.58</v>
      </c>
      <c r="L19" s="31">
        <v>2242.35</v>
      </c>
      <c r="M19" s="31">
        <v>1315.27</v>
      </c>
      <c r="N19" s="31">
        <v>1439.11</v>
      </c>
      <c r="O19" s="31">
        <f t="shared" si="0"/>
        <v>17282.830000000002</v>
      </c>
      <c r="P19" s="1">
        <f t="shared" si="1"/>
        <v>12</v>
      </c>
      <c r="Q19" s="31">
        <f t="shared" si="2"/>
        <v>1440.2358333333334</v>
      </c>
    </row>
    <row r="20" spans="1:17">
      <c r="A20" s="4">
        <v>70023</v>
      </c>
      <c r="B20" s="1" t="s">
        <v>97</v>
      </c>
      <c r="C20" s="31">
        <v>1518.18</v>
      </c>
      <c r="D20" s="31">
        <v>936.9</v>
      </c>
      <c r="E20" s="31">
        <v>1846.8</v>
      </c>
      <c r="F20" s="31">
        <v>1572.3</v>
      </c>
      <c r="G20" s="31">
        <v>1401.3</v>
      </c>
      <c r="H20" s="31">
        <v>1216.98</v>
      </c>
      <c r="I20" s="31">
        <v>1489.38</v>
      </c>
      <c r="J20" s="31">
        <v>1704.96</v>
      </c>
      <c r="K20" s="31">
        <v>1702.26</v>
      </c>
      <c r="L20" s="31">
        <v>3399.92</v>
      </c>
      <c r="M20" s="31">
        <v>1764.6</v>
      </c>
      <c r="N20" s="31">
        <v>1231.08</v>
      </c>
      <c r="O20" s="31">
        <f t="shared" si="0"/>
        <v>19784.659999999996</v>
      </c>
      <c r="P20" s="1">
        <f t="shared" si="1"/>
        <v>12</v>
      </c>
      <c r="Q20" s="31">
        <f t="shared" si="2"/>
        <v>1648.7216666666664</v>
      </c>
    </row>
    <row r="21" spans="1:17">
      <c r="A21" s="4" t="s">
        <v>66</v>
      </c>
      <c r="B21" s="1" t="s">
        <v>21</v>
      </c>
      <c r="C21" s="31">
        <v>4593</v>
      </c>
      <c r="D21" s="31">
        <v>4836</v>
      </c>
      <c r="E21" s="31">
        <v>4140</v>
      </c>
      <c r="F21" s="31">
        <v>4197</v>
      </c>
      <c r="G21" s="31">
        <v>2627</v>
      </c>
      <c r="H21" s="31">
        <v>1835</v>
      </c>
      <c r="I21" s="31">
        <v>1600.8</v>
      </c>
      <c r="J21" s="35">
        <v>1887.36</v>
      </c>
      <c r="K21" s="31">
        <v>2486</v>
      </c>
      <c r="L21" s="31">
        <v>3952</v>
      </c>
      <c r="M21" s="31">
        <v>4712</v>
      </c>
      <c r="N21" s="31">
        <v>4190</v>
      </c>
      <c r="O21" s="31">
        <f t="shared" si="0"/>
        <v>41056.160000000003</v>
      </c>
      <c r="P21" s="1">
        <f t="shared" si="1"/>
        <v>12</v>
      </c>
      <c r="Q21" s="31">
        <f t="shared" si="2"/>
        <v>3421.3466666666668</v>
      </c>
    </row>
    <row r="22" spans="1:17">
      <c r="A22" s="4">
        <v>70026</v>
      </c>
      <c r="B22" s="1" t="s">
        <v>22</v>
      </c>
      <c r="C22" s="31">
        <v>12216.3</v>
      </c>
      <c r="D22" s="31">
        <v>12287.48</v>
      </c>
      <c r="E22" s="31">
        <v>11816.24</v>
      </c>
      <c r="F22" s="31">
        <v>10873.02</v>
      </c>
      <c r="G22" s="31">
        <v>7467.2</v>
      </c>
      <c r="H22" s="31">
        <v>3472.34</v>
      </c>
      <c r="I22" s="31">
        <v>4253.12</v>
      </c>
      <c r="J22" s="31">
        <v>3867.96</v>
      </c>
      <c r="K22" s="31">
        <v>7397.73</v>
      </c>
      <c r="L22" s="31">
        <v>11325.14</v>
      </c>
      <c r="M22" s="31">
        <v>12711.32</v>
      </c>
      <c r="N22" s="31">
        <v>12907.12</v>
      </c>
      <c r="O22" s="31">
        <f t="shared" si="0"/>
        <v>110594.96999999997</v>
      </c>
      <c r="P22" s="1">
        <f t="shared" si="1"/>
        <v>12</v>
      </c>
      <c r="Q22" s="31">
        <f t="shared" si="2"/>
        <v>9216.2474999999977</v>
      </c>
    </row>
    <row r="23" spans="1:17">
      <c r="A23" s="4">
        <v>70027</v>
      </c>
      <c r="B23" s="1" t="s">
        <v>23</v>
      </c>
      <c r="C23" s="31">
        <v>931.2</v>
      </c>
      <c r="D23" s="31">
        <v>825.29</v>
      </c>
      <c r="E23" s="31">
        <v>899.74</v>
      </c>
      <c r="F23" s="31">
        <v>827.47</v>
      </c>
      <c r="G23" s="31">
        <v>840.49</v>
      </c>
      <c r="H23" s="31">
        <v>862.62</v>
      </c>
      <c r="I23" s="31">
        <v>471.9</v>
      </c>
      <c r="J23" s="31">
        <v>385.4</v>
      </c>
      <c r="K23" s="31">
        <v>332.08</v>
      </c>
      <c r="L23" s="31">
        <v>250.06</v>
      </c>
      <c r="M23" s="31">
        <v>261.91000000000003</v>
      </c>
      <c r="N23" s="31">
        <v>258.99</v>
      </c>
      <c r="O23" s="31">
        <f t="shared" si="0"/>
        <v>7147.1499999999987</v>
      </c>
      <c r="P23" s="1">
        <f t="shared" si="1"/>
        <v>12</v>
      </c>
      <c r="Q23" s="31">
        <f t="shared" si="2"/>
        <v>595.59583333333319</v>
      </c>
    </row>
    <row r="24" spans="1:17">
      <c r="A24" s="4" t="s">
        <v>78</v>
      </c>
      <c r="B24" s="1" t="s">
        <v>77</v>
      </c>
      <c r="C24" s="31">
        <v>2725.42</v>
      </c>
      <c r="D24" s="31">
        <v>2233.44</v>
      </c>
      <c r="E24" s="31">
        <v>1654.7</v>
      </c>
      <c r="F24" s="31">
        <v>2078.1799999999998</v>
      </c>
      <c r="G24" s="31">
        <v>1835.63</v>
      </c>
      <c r="H24" s="31">
        <v>1442.4</v>
      </c>
      <c r="I24" s="31">
        <v>1174.44</v>
      </c>
      <c r="J24" s="31">
        <v>1476.48</v>
      </c>
      <c r="K24" s="31">
        <v>2065.92</v>
      </c>
      <c r="L24" s="35"/>
      <c r="M24" s="35">
        <v>2399.52</v>
      </c>
      <c r="N24" s="31">
        <v>2211.36</v>
      </c>
      <c r="O24" s="31">
        <f t="shared" si="0"/>
        <v>21297.49</v>
      </c>
      <c r="P24" s="1">
        <f t="shared" si="1"/>
        <v>11</v>
      </c>
      <c r="Q24" s="31">
        <f t="shared" si="2"/>
        <v>1936.1354545454546</v>
      </c>
    </row>
    <row r="25" spans="1:17">
      <c r="A25" s="4" t="s">
        <v>68</v>
      </c>
      <c r="B25" s="1" t="s">
        <v>24</v>
      </c>
      <c r="C25" s="31">
        <v>3013.58</v>
      </c>
      <c r="D25" s="31">
        <v>2502.86</v>
      </c>
      <c r="E25" s="31">
        <v>2447.09</v>
      </c>
      <c r="F25" s="31">
        <v>2977.4</v>
      </c>
      <c r="G25" s="31">
        <v>2522.89</v>
      </c>
      <c r="H25" s="31">
        <v>2319.79</v>
      </c>
      <c r="I25" s="31">
        <v>2130.77</v>
      </c>
      <c r="J25" s="31">
        <v>1522.75</v>
      </c>
      <c r="K25" s="31">
        <v>2397.37</v>
      </c>
      <c r="L25" s="31">
        <v>2376.29</v>
      </c>
      <c r="M25" s="31">
        <v>2046.4</v>
      </c>
      <c r="N25" s="31">
        <v>2662.69</v>
      </c>
      <c r="O25" s="31">
        <f t="shared" si="0"/>
        <v>28919.88</v>
      </c>
      <c r="P25" s="1">
        <f t="shared" si="1"/>
        <v>12</v>
      </c>
      <c r="Q25" s="31">
        <f t="shared" si="2"/>
        <v>2409.9900000000002</v>
      </c>
    </row>
    <row r="26" spans="1:17">
      <c r="A26" s="4">
        <v>70030</v>
      </c>
      <c r="B26" s="1" t="s">
        <v>81</v>
      </c>
      <c r="C26" s="31">
        <v>119807.57</v>
      </c>
      <c r="D26" s="31">
        <v>51358.87</v>
      </c>
      <c r="E26" s="31">
        <v>71553.070000000007</v>
      </c>
      <c r="F26" s="31">
        <v>77336.960000000006</v>
      </c>
      <c r="G26" s="31">
        <v>44183</v>
      </c>
      <c r="H26" s="31">
        <v>23898.81</v>
      </c>
      <c r="I26" s="31">
        <v>30449.31</v>
      </c>
      <c r="J26" s="31">
        <v>39025.910000000003</v>
      </c>
      <c r="K26" s="31">
        <v>41194.51</v>
      </c>
      <c r="L26" s="31">
        <v>60093.61</v>
      </c>
      <c r="M26" s="31">
        <v>92056.37</v>
      </c>
      <c r="N26" s="31">
        <v>52234.94</v>
      </c>
      <c r="O26" s="31">
        <f t="shared" si="0"/>
        <v>703192.92999999993</v>
      </c>
      <c r="P26" s="1">
        <f t="shared" si="1"/>
        <v>12</v>
      </c>
      <c r="Q26" s="31">
        <f t="shared" si="2"/>
        <v>58599.410833333328</v>
      </c>
    </row>
    <row r="27" spans="1:17">
      <c r="A27" s="4" t="s">
        <v>26</v>
      </c>
      <c r="B27" s="1" t="s">
        <v>25</v>
      </c>
      <c r="C27" s="31">
        <v>1182.22</v>
      </c>
      <c r="D27" s="31">
        <v>1302.04</v>
      </c>
      <c r="E27" s="31">
        <v>1220.6300000000001</v>
      </c>
      <c r="F27" s="31">
        <v>1030.24</v>
      </c>
      <c r="G27" s="31">
        <v>1325.99</v>
      </c>
      <c r="H27" s="31">
        <v>1025.0999999999999</v>
      </c>
      <c r="I27" s="31">
        <v>979.49</v>
      </c>
      <c r="J27" s="31">
        <v>1220.7</v>
      </c>
      <c r="K27" s="31">
        <v>1283.99</v>
      </c>
      <c r="L27" s="31">
        <v>1469.33</v>
      </c>
      <c r="M27" s="31">
        <v>1565.29</v>
      </c>
      <c r="N27" s="31">
        <v>1351.78</v>
      </c>
      <c r="O27" s="31">
        <f t="shared" si="0"/>
        <v>14956.800000000001</v>
      </c>
      <c r="P27" s="1">
        <f t="shared" si="1"/>
        <v>12</v>
      </c>
      <c r="Q27" s="31">
        <f t="shared" si="2"/>
        <v>1246.4000000000001</v>
      </c>
    </row>
    <row r="28" spans="1:17">
      <c r="A28" s="4" t="s">
        <v>103</v>
      </c>
      <c r="B28" s="1" t="s">
        <v>11</v>
      </c>
      <c r="C28" s="31">
        <v>4368.87</v>
      </c>
      <c r="D28" s="31">
        <v>2985.93</v>
      </c>
      <c r="E28" s="31">
        <v>3476.17</v>
      </c>
      <c r="F28" s="31">
        <v>4553.0600000000004</v>
      </c>
      <c r="G28" s="31">
        <v>2550.04</v>
      </c>
      <c r="H28" s="31">
        <v>1570.59</v>
      </c>
      <c r="I28" s="31">
        <v>2153.2800000000002</v>
      </c>
      <c r="J28" s="31">
        <v>2229.54</v>
      </c>
      <c r="K28" s="31">
        <v>2745.18</v>
      </c>
      <c r="L28" s="31">
        <v>3343</v>
      </c>
      <c r="M28" s="31">
        <v>2721.66</v>
      </c>
      <c r="N28" s="31">
        <v>2358.3690000000001</v>
      </c>
      <c r="O28" s="31">
        <f t="shared" si="0"/>
        <v>35055.688999999998</v>
      </c>
      <c r="P28" s="1">
        <f t="shared" si="1"/>
        <v>12</v>
      </c>
      <c r="Q28" s="31">
        <f t="shared" si="2"/>
        <v>2921.3074166666665</v>
      </c>
    </row>
    <row r="29" spans="1:17">
      <c r="A29" s="4">
        <v>70035</v>
      </c>
      <c r="B29" s="1" t="s">
        <v>28</v>
      </c>
      <c r="C29" s="31">
        <v>31445.27</v>
      </c>
      <c r="D29" s="31">
        <v>24607.71</v>
      </c>
      <c r="E29" s="31">
        <v>32628.81</v>
      </c>
      <c r="F29" s="31">
        <v>41525.21</v>
      </c>
      <c r="G29" s="31">
        <v>27844.55</v>
      </c>
      <c r="H29" s="31">
        <v>22401.8</v>
      </c>
      <c r="I29" s="31">
        <v>23324.400000000001</v>
      </c>
      <c r="J29" s="31">
        <v>28699.41</v>
      </c>
      <c r="K29" s="31">
        <v>35715.050000000003</v>
      </c>
      <c r="L29" s="31">
        <v>57062.44</v>
      </c>
      <c r="M29" s="31">
        <v>38595.370000000003</v>
      </c>
      <c r="N29" s="31">
        <v>32557.200000000001</v>
      </c>
      <c r="O29" s="31">
        <f t="shared" si="0"/>
        <v>396407.22</v>
      </c>
      <c r="P29" s="1">
        <f t="shared" si="1"/>
        <v>12</v>
      </c>
      <c r="Q29" s="31">
        <f t="shared" si="2"/>
        <v>33033.934999999998</v>
      </c>
    </row>
    <row r="30" spans="1:17">
      <c r="A30" s="4">
        <v>70037</v>
      </c>
      <c r="B30" s="1" t="s">
        <v>29</v>
      </c>
      <c r="C30" s="31">
        <v>7107.75</v>
      </c>
      <c r="D30" s="31">
        <v>5712.42</v>
      </c>
      <c r="E30" s="31">
        <v>5760.1</v>
      </c>
      <c r="F30" s="31">
        <v>6269.23</v>
      </c>
      <c r="G30" s="31">
        <v>3948.81</v>
      </c>
      <c r="H30" s="31">
        <v>3316.99</v>
      </c>
      <c r="I30" s="31">
        <v>2871.12</v>
      </c>
      <c r="J30" s="31">
        <v>3231.09</v>
      </c>
      <c r="K30" s="31">
        <v>5157.43</v>
      </c>
      <c r="L30" s="31">
        <v>6351.17</v>
      </c>
      <c r="M30" s="31">
        <v>5893.21</v>
      </c>
      <c r="N30" s="31">
        <v>5558.5</v>
      </c>
      <c r="O30" s="31">
        <f t="shared" si="0"/>
        <v>61177.820000000007</v>
      </c>
      <c r="P30" s="1">
        <f t="shared" si="1"/>
        <v>12</v>
      </c>
      <c r="Q30" s="31">
        <f t="shared" si="2"/>
        <v>5098.1516666666676</v>
      </c>
    </row>
    <row r="31" spans="1:17">
      <c r="A31" s="4">
        <v>70038</v>
      </c>
      <c r="B31" s="1" t="s">
        <v>30</v>
      </c>
      <c r="C31" s="31">
        <v>8281.26</v>
      </c>
      <c r="D31" s="31">
        <v>7225.31</v>
      </c>
      <c r="E31" s="31">
        <v>7840.52</v>
      </c>
      <c r="F31" s="31">
        <v>7935.29</v>
      </c>
      <c r="G31" s="31">
        <v>5537.3</v>
      </c>
      <c r="H31" s="31">
        <v>4702.55</v>
      </c>
      <c r="I31" s="31">
        <v>4715.59</v>
      </c>
      <c r="J31" s="31">
        <v>5670.25</v>
      </c>
      <c r="K31" s="31">
        <v>6640.99</v>
      </c>
      <c r="L31" s="31">
        <v>8399.9500000000007</v>
      </c>
      <c r="M31" s="31">
        <v>7912.91</v>
      </c>
      <c r="N31" s="31">
        <v>7584.75</v>
      </c>
      <c r="O31" s="31">
        <f t="shared" si="0"/>
        <v>82446.670000000013</v>
      </c>
      <c r="P31" s="1">
        <f t="shared" si="1"/>
        <v>12</v>
      </c>
      <c r="Q31" s="31">
        <f t="shared" si="2"/>
        <v>6870.5558333333347</v>
      </c>
    </row>
    <row r="32" spans="1:17">
      <c r="A32" s="4" t="s">
        <v>71</v>
      </c>
      <c r="B32" s="1" t="s">
        <v>31</v>
      </c>
      <c r="C32" s="31">
        <v>9612</v>
      </c>
      <c r="D32" s="31">
        <v>7013</v>
      </c>
      <c r="E32" s="31">
        <v>6475</v>
      </c>
      <c r="F32" s="31">
        <v>7212</v>
      </c>
      <c r="G32" s="31">
        <v>4724</v>
      </c>
      <c r="H32" s="31">
        <v>3762</v>
      </c>
      <c r="I32" s="31">
        <v>3459</v>
      </c>
      <c r="J32" s="31">
        <v>4146</v>
      </c>
      <c r="K32" s="31">
        <v>5677</v>
      </c>
      <c r="L32" s="31">
        <v>8276</v>
      </c>
      <c r="M32" s="31">
        <v>7760</v>
      </c>
      <c r="N32" s="31">
        <v>8700</v>
      </c>
      <c r="O32" s="31">
        <f t="shared" si="0"/>
        <v>76816</v>
      </c>
      <c r="P32" s="1">
        <f t="shared" si="1"/>
        <v>12</v>
      </c>
      <c r="Q32" s="31">
        <f t="shared" si="2"/>
        <v>6401.333333333333</v>
      </c>
    </row>
    <row r="33" spans="1:17">
      <c r="A33" s="4" t="s">
        <v>86</v>
      </c>
      <c r="B33" s="1" t="s">
        <v>32</v>
      </c>
      <c r="C33" s="31">
        <v>12674.28</v>
      </c>
      <c r="D33" s="31">
        <v>12202.79</v>
      </c>
      <c r="E33" s="31">
        <v>12320.14</v>
      </c>
      <c r="F33" s="31">
        <v>12936.55</v>
      </c>
      <c r="G33" s="31">
        <v>10195.06</v>
      </c>
      <c r="H33" s="31">
        <v>7233.96</v>
      </c>
      <c r="I33" s="31">
        <v>9164.83</v>
      </c>
      <c r="J33" s="31">
        <v>10404.68</v>
      </c>
      <c r="K33" s="31">
        <v>12394.21</v>
      </c>
      <c r="L33" s="31">
        <v>14245.2</v>
      </c>
      <c r="M33" s="31">
        <v>15357.59</v>
      </c>
      <c r="N33" s="31">
        <v>14200.64</v>
      </c>
      <c r="O33" s="31">
        <f t="shared" si="0"/>
        <v>143329.93</v>
      </c>
      <c r="P33" s="1">
        <f t="shared" si="1"/>
        <v>12</v>
      </c>
      <c r="Q33" s="31">
        <f t="shared" si="2"/>
        <v>11944.160833333333</v>
      </c>
    </row>
    <row r="34" spans="1:17">
      <c r="A34" s="4">
        <v>70044</v>
      </c>
      <c r="B34" s="1" t="s">
        <v>34</v>
      </c>
      <c r="C34" s="31">
        <v>9241</v>
      </c>
      <c r="D34" s="31">
        <v>5865.87</v>
      </c>
      <c r="E34" s="31">
        <v>6578.93</v>
      </c>
      <c r="F34" s="31">
        <v>8490.99</v>
      </c>
      <c r="G34" s="31">
        <v>6226.09</v>
      </c>
      <c r="H34" s="31">
        <v>3788.15</v>
      </c>
      <c r="I34" s="31">
        <v>3933.47</v>
      </c>
      <c r="J34" s="31">
        <v>4963.87</v>
      </c>
      <c r="K34" s="31">
        <v>7178.51</v>
      </c>
      <c r="L34" s="31">
        <v>10075.81</v>
      </c>
      <c r="M34" s="31">
        <v>8195.2900000000009</v>
      </c>
      <c r="N34" s="31">
        <v>7266.16</v>
      </c>
      <c r="O34" s="31">
        <f t="shared" si="0"/>
        <v>81804.140000000014</v>
      </c>
      <c r="P34" s="1">
        <f t="shared" si="1"/>
        <v>12</v>
      </c>
      <c r="Q34" s="31">
        <f t="shared" si="2"/>
        <v>6817.0116666666681</v>
      </c>
    </row>
    <row r="35" spans="1:17">
      <c r="A35" s="4">
        <v>70046</v>
      </c>
      <c r="B35" s="1" t="s">
        <v>35</v>
      </c>
      <c r="C35" s="31">
        <v>1466.03</v>
      </c>
      <c r="D35" s="31">
        <v>1258.98</v>
      </c>
      <c r="E35" s="31">
        <v>1381.32</v>
      </c>
      <c r="F35" s="31">
        <v>1491.36</v>
      </c>
      <c r="G35" s="31">
        <v>1370.04</v>
      </c>
      <c r="H35" s="31">
        <v>1334.56</v>
      </c>
      <c r="I35" s="31">
        <v>1213.6199999999999</v>
      </c>
      <c r="J35" s="31">
        <v>1237.8</v>
      </c>
      <c r="K35" s="35">
        <v>1478.46</v>
      </c>
      <c r="L35" s="31">
        <v>1428.06</v>
      </c>
      <c r="M35" s="31">
        <v>1379.4</v>
      </c>
      <c r="N35" s="31">
        <v>1022.1</v>
      </c>
      <c r="O35" s="31">
        <f t="shared" si="0"/>
        <v>16061.729999999998</v>
      </c>
      <c r="P35" s="1">
        <f t="shared" si="1"/>
        <v>12</v>
      </c>
      <c r="Q35" s="31">
        <f t="shared" si="2"/>
        <v>1338.4774999999997</v>
      </c>
    </row>
    <row r="36" spans="1:17">
      <c r="A36" s="4">
        <v>70048</v>
      </c>
      <c r="B36" s="1" t="s">
        <v>36</v>
      </c>
      <c r="C36" s="31">
        <v>3406.01</v>
      </c>
      <c r="D36" s="31">
        <v>3049.25</v>
      </c>
      <c r="E36" s="31">
        <v>3281.75</v>
      </c>
      <c r="F36" s="31">
        <v>3408.02</v>
      </c>
      <c r="G36" s="31">
        <v>2887.89</v>
      </c>
      <c r="H36" s="31">
        <v>2640.83</v>
      </c>
      <c r="I36" s="31">
        <v>2497.7199999999998</v>
      </c>
      <c r="J36" s="31">
        <v>2391.5300000000002</v>
      </c>
      <c r="K36" s="31">
        <v>2597.46</v>
      </c>
      <c r="L36" s="31">
        <v>3102.73</v>
      </c>
      <c r="M36" s="31">
        <v>3559.62</v>
      </c>
      <c r="N36" s="31">
        <v>2587.06</v>
      </c>
      <c r="O36" s="31">
        <f t="shared" si="0"/>
        <v>35409.869999999995</v>
      </c>
      <c r="P36" s="1">
        <f t="shared" si="1"/>
        <v>12</v>
      </c>
      <c r="Q36" s="31">
        <f t="shared" si="2"/>
        <v>2950.8224999999998</v>
      </c>
    </row>
    <row r="37" spans="1:17">
      <c r="A37" s="4">
        <v>70049</v>
      </c>
      <c r="B37" s="1" t="s">
        <v>37</v>
      </c>
      <c r="C37" s="31">
        <v>405.59</v>
      </c>
      <c r="D37" s="31">
        <v>396.64</v>
      </c>
      <c r="E37" s="31">
        <v>288.91000000000003</v>
      </c>
      <c r="F37" s="31">
        <v>351.11</v>
      </c>
      <c r="G37" s="31">
        <v>290.14</v>
      </c>
      <c r="H37" s="31">
        <v>247.61</v>
      </c>
      <c r="I37" s="31">
        <v>226.02</v>
      </c>
      <c r="J37" s="31">
        <v>189.91</v>
      </c>
      <c r="K37" s="31">
        <v>347.68</v>
      </c>
      <c r="L37" s="31">
        <v>441.96</v>
      </c>
      <c r="M37" s="31">
        <v>416.57</v>
      </c>
      <c r="N37" s="31">
        <v>434.14</v>
      </c>
      <c r="O37" s="31">
        <f t="shared" si="0"/>
        <v>4036.2799999999997</v>
      </c>
      <c r="P37" s="1">
        <f t="shared" si="1"/>
        <v>12</v>
      </c>
      <c r="Q37" s="31">
        <f t="shared" si="2"/>
        <v>336.35666666666663</v>
      </c>
    </row>
    <row r="38" spans="1:17">
      <c r="A38" s="4" t="s">
        <v>79</v>
      </c>
      <c r="B38" s="1" t="s">
        <v>80</v>
      </c>
      <c r="C38" s="31">
        <v>9300</v>
      </c>
      <c r="D38" s="31">
        <v>5954</v>
      </c>
      <c r="E38" s="31">
        <v>6919</v>
      </c>
      <c r="F38" s="31">
        <v>8215</v>
      </c>
      <c r="G38" s="31">
        <v>5681</v>
      </c>
      <c r="H38" s="31">
        <v>4728</v>
      </c>
      <c r="I38" s="31">
        <v>3796</v>
      </c>
      <c r="J38" s="31">
        <v>5087</v>
      </c>
      <c r="K38" s="31">
        <v>7475</v>
      </c>
      <c r="L38" s="31">
        <v>9888</v>
      </c>
      <c r="M38" s="31">
        <v>8002</v>
      </c>
      <c r="N38" s="31">
        <v>8116</v>
      </c>
      <c r="O38" s="31">
        <f t="shared" si="0"/>
        <v>83161</v>
      </c>
      <c r="P38" s="1">
        <f t="shared" si="1"/>
        <v>12</v>
      </c>
      <c r="Q38" s="31">
        <f t="shared" si="2"/>
        <v>6930.083333333333</v>
      </c>
    </row>
    <row r="39" spans="1:17">
      <c r="A39" s="4" t="s">
        <v>99</v>
      </c>
      <c r="B39" s="1" t="s">
        <v>101</v>
      </c>
      <c r="C39" s="31">
        <v>5671.67</v>
      </c>
      <c r="D39" s="31">
        <v>4963.53</v>
      </c>
      <c r="E39" s="31">
        <v>5048.62</v>
      </c>
      <c r="F39" s="31">
        <v>5863.85</v>
      </c>
      <c r="G39" s="31">
        <v>3916.2</v>
      </c>
      <c r="H39" s="31">
        <v>3401.54</v>
      </c>
      <c r="I39" s="31">
        <v>2809.93</v>
      </c>
      <c r="J39" s="31">
        <v>3153.21</v>
      </c>
      <c r="K39" s="31">
        <v>4047.86</v>
      </c>
      <c r="L39" s="31">
        <v>5544.67</v>
      </c>
      <c r="M39" s="31">
        <v>4706.66</v>
      </c>
      <c r="N39" s="31">
        <v>4579.12</v>
      </c>
      <c r="O39" s="31">
        <f t="shared" si="0"/>
        <v>53706.860000000008</v>
      </c>
      <c r="P39" s="1">
        <f t="shared" si="1"/>
        <v>12</v>
      </c>
      <c r="Q39" s="31">
        <f t="shared" si="2"/>
        <v>4475.5716666666676</v>
      </c>
    </row>
    <row r="40" spans="1:17">
      <c r="A40" s="4">
        <v>70052</v>
      </c>
      <c r="B40" s="1" t="s">
        <v>38</v>
      </c>
      <c r="C40" s="31">
        <v>4456.03</v>
      </c>
      <c r="D40" s="31">
        <v>4462.0200000000004</v>
      </c>
      <c r="E40" s="31">
        <v>4609.33</v>
      </c>
      <c r="F40" s="31">
        <v>4625.5</v>
      </c>
      <c r="G40" s="31">
        <v>3942.6</v>
      </c>
      <c r="H40" s="31">
        <v>2492.7399999999998</v>
      </c>
      <c r="I40" s="31">
        <v>2743.76</v>
      </c>
      <c r="J40" s="31">
        <v>2392.5700000000002</v>
      </c>
      <c r="K40" s="31">
        <v>2929</v>
      </c>
      <c r="L40" s="31">
        <v>4257.6000000000004</v>
      </c>
      <c r="M40" s="31">
        <v>2968.24</v>
      </c>
      <c r="N40" s="31">
        <v>3965.74</v>
      </c>
      <c r="O40" s="31">
        <f t="shared" si="0"/>
        <v>43845.12999999999</v>
      </c>
      <c r="P40" s="1">
        <f t="shared" si="1"/>
        <v>12</v>
      </c>
      <c r="Q40" s="31">
        <f t="shared" si="2"/>
        <v>3653.7608333333324</v>
      </c>
    </row>
    <row r="41" spans="1:17">
      <c r="A41" s="4">
        <v>70053</v>
      </c>
      <c r="B41" s="1" t="s">
        <v>39</v>
      </c>
      <c r="C41" s="31">
        <v>12098.55</v>
      </c>
      <c r="D41" s="31">
        <v>13151.81</v>
      </c>
      <c r="E41" s="31">
        <v>9215.2000000000007</v>
      </c>
      <c r="F41" s="31">
        <v>15222.31</v>
      </c>
      <c r="G41" s="31">
        <v>13826.37</v>
      </c>
      <c r="H41" s="32">
        <v>12973.28</v>
      </c>
      <c r="I41" s="31">
        <v>6841.33</v>
      </c>
      <c r="J41" s="31">
        <v>8613.84</v>
      </c>
      <c r="K41" s="31">
        <v>13133.44</v>
      </c>
      <c r="L41" s="31">
        <v>16468.86</v>
      </c>
      <c r="M41" s="31">
        <v>23111.65</v>
      </c>
      <c r="N41" s="31">
        <v>14745.44</v>
      </c>
      <c r="O41" s="31">
        <f t="shared" si="0"/>
        <v>159402.08000000002</v>
      </c>
      <c r="P41" s="1">
        <f t="shared" si="1"/>
        <v>12</v>
      </c>
      <c r="Q41" s="31">
        <f t="shared" si="2"/>
        <v>13283.506666666668</v>
      </c>
    </row>
    <row r="42" spans="1:17">
      <c r="A42" s="4">
        <v>70054</v>
      </c>
      <c r="B42" s="1" t="s">
        <v>40</v>
      </c>
      <c r="C42" s="31">
        <v>18116.36</v>
      </c>
      <c r="D42" s="31">
        <v>6265.38</v>
      </c>
      <c r="E42" s="31">
        <v>12029.56</v>
      </c>
      <c r="F42" s="31">
        <v>13994.85</v>
      </c>
      <c r="G42" s="31">
        <v>7206.22</v>
      </c>
      <c r="H42" s="32">
        <v>3201.84</v>
      </c>
      <c r="I42" s="31">
        <v>3662.43</v>
      </c>
      <c r="J42" s="31">
        <v>3348.31</v>
      </c>
      <c r="K42" s="31">
        <v>6301</v>
      </c>
      <c r="L42" s="31">
        <v>10253.09</v>
      </c>
      <c r="M42" s="31">
        <v>5996.54</v>
      </c>
      <c r="N42" s="31">
        <v>6257.71</v>
      </c>
      <c r="O42" s="31">
        <f t="shared" si="0"/>
        <v>96633.290000000008</v>
      </c>
      <c r="P42" s="1">
        <f t="shared" si="1"/>
        <v>12</v>
      </c>
      <c r="Q42" s="31">
        <f t="shared" si="2"/>
        <v>8052.774166666667</v>
      </c>
    </row>
    <row r="43" spans="1:17">
      <c r="A43" s="4">
        <v>70055</v>
      </c>
      <c r="B43" s="1" t="s">
        <v>41</v>
      </c>
      <c r="C43" s="31">
        <v>6575.55</v>
      </c>
      <c r="D43" s="31">
        <v>5680.66</v>
      </c>
      <c r="E43" s="31">
        <v>5108.22</v>
      </c>
      <c r="F43" s="31">
        <v>5815.81</v>
      </c>
      <c r="G43" s="31">
        <v>5079.28</v>
      </c>
      <c r="H43" s="31">
        <v>4934.47</v>
      </c>
      <c r="I43" s="31">
        <v>4444.6899999999996</v>
      </c>
      <c r="J43" s="31">
        <v>4334.6899999999996</v>
      </c>
      <c r="K43" s="31">
        <v>5623.06</v>
      </c>
      <c r="L43" s="31">
        <v>6518.55</v>
      </c>
      <c r="M43" s="31">
        <v>6409.22</v>
      </c>
      <c r="N43" s="31">
        <v>6429.22</v>
      </c>
      <c r="O43" s="31">
        <f t="shared" si="0"/>
        <v>66953.42</v>
      </c>
      <c r="P43" s="1">
        <f t="shared" si="1"/>
        <v>12</v>
      </c>
      <c r="Q43" s="31">
        <f t="shared" si="2"/>
        <v>5579.4516666666668</v>
      </c>
    </row>
    <row r="44" spans="1:17">
      <c r="A44" s="4">
        <v>70062</v>
      </c>
      <c r="B44" s="1" t="s">
        <v>42</v>
      </c>
      <c r="C44" s="31">
        <v>7878.71</v>
      </c>
      <c r="D44" s="31">
        <v>7294.41</v>
      </c>
      <c r="E44" s="31">
        <v>7129.79</v>
      </c>
      <c r="F44" s="31">
        <v>8523.41</v>
      </c>
      <c r="G44" s="31">
        <v>6738.3</v>
      </c>
      <c r="H44" s="31">
        <v>5318.77</v>
      </c>
      <c r="I44" s="31">
        <v>5834.56</v>
      </c>
      <c r="J44" s="31">
        <v>6358.17</v>
      </c>
      <c r="K44" s="31">
        <v>6966.95</v>
      </c>
      <c r="L44" s="31">
        <v>8969.7099999999991</v>
      </c>
      <c r="M44" s="31">
        <v>8448.2999999999993</v>
      </c>
      <c r="N44" s="31">
        <v>8080.92</v>
      </c>
      <c r="O44" s="31">
        <f t="shared" si="0"/>
        <v>87542</v>
      </c>
      <c r="P44" s="1">
        <f t="shared" si="1"/>
        <v>12</v>
      </c>
      <c r="Q44" s="31">
        <f t="shared" si="2"/>
        <v>7295.166666666667</v>
      </c>
    </row>
    <row r="45" spans="1:17">
      <c r="A45" s="4">
        <v>70063</v>
      </c>
      <c r="B45" s="1" t="s">
        <v>43</v>
      </c>
      <c r="C45" s="31">
        <v>9246.74</v>
      </c>
      <c r="D45" s="31">
        <v>9447.83</v>
      </c>
      <c r="E45" s="31">
        <v>9190.6</v>
      </c>
      <c r="F45" s="31">
        <v>11650</v>
      </c>
      <c r="G45" s="31">
        <v>8041.31</v>
      </c>
      <c r="H45" s="31">
        <v>6684.69</v>
      </c>
      <c r="I45" s="31">
        <v>7342.6</v>
      </c>
      <c r="J45" s="31">
        <v>8433.07</v>
      </c>
      <c r="K45" s="31">
        <v>7835.44</v>
      </c>
      <c r="L45" s="31">
        <v>10816.03</v>
      </c>
      <c r="M45" s="31">
        <v>10212.236000000001</v>
      </c>
      <c r="N45" s="31">
        <v>9267.42</v>
      </c>
      <c r="O45" s="31">
        <f t="shared" si="0"/>
        <v>108167.966</v>
      </c>
      <c r="P45" s="1">
        <f t="shared" si="1"/>
        <v>12</v>
      </c>
      <c r="Q45" s="31">
        <f t="shared" si="2"/>
        <v>9013.9971666666661</v>
      </c>
    </row>
    <row r="46" spans="1:17">
      <c r="A46" s="4">
        <v>70065</v>
      </c>
      <c r="B46" s="1" t="s">
        <v>44</v>
      </c>
      <c r="C46" s="31">
        <v>89.76</v>
      </c>
      <c r="D46" s="31">
        <v>71.52</v>
      </c>
      <c r="E46" s="31"/>
      <c r="F46" s="31">
        <v>125.29</v>
      </c>
      <c r="G46" s="31"/>
      <c r="H46" s="31"/>
      <c r="I46" s="31"/>
      <c r="J46" s="31"/>
      <c r="K46" s="31">
        <v>48.08</v>
      </c>
      <c r="L46" s="31">
        <v>49.59</v>
      </c>
      <c r="M46" s="31"/>
      <c r="N46" s="31"/>
      <c r="O46" s="31">
        <f t="shared" si="0"/>
        <v>384.24</v>
      </c>
      <c r="P46" s="1">
        <f t="shared" si="1"/>
        <v>5</v>
      </c>
      <c r="Q46" s="31">
        <f t="shared" si="2"/>
        <v>76.847999999999999</v>
      </c>
    </row>
    <row r="47" spans="1:17">
      <c r="A47" s="4">
        <v>70067</v>
      </c>
      <c r="B47" s="1" t="s">
        <v>46</v>
      </c>
      <c r="C47" s="31">
        <v>4349.46</v>
      </c>
      <c r="D47" s="31">
        <v>3316.35</v>
      </c>
      <c r="E47" s="31">
        <v>2517</v>
      </c>
      <c r="F47" s="31">
        <v>3900.59</v>
      </c>
      <c r="G47" s="31">
        <v>2506.14</v>
      </c>
      <c r="H47" s="31">
        <v>1518.86</v>
      </c>
      <c r="I47" s="31">
        <v>1644.66</v>
      </c>
      <c r="J47" s="31">
        <v>1992.06</v>
      </c>
      <c r="K47" s="31">
        <v>3144.3</v>
      </c>
      <c r="L47" s="31">
        <v>4742.34</v>
      </c>
      <c r="M47" s="31">
        <v>3442.5</v>
      </c>
      <c r="N47" s="31">
        <v>3630</v>
      </c>
      <c r="O47" s="31">
        <f t="shared" si="0"/>
        <v>36704.26</v>
      </c>
      <c r="P47" s="1">
        <f t="shared" si="1"/>
        <v>12</v>
      </c>
      <c r="Q47" s="31">
        <f t="shared" si="2"/>
        <v>3058.6883333333335</v>
      </c>
    </row>
    <row r="48" spans="1:17">
      <c r="A48" s="4">
        <v>70068</v>
      </c>
      <c r="B48" s="1" t="s">
        <v>47</v>
      </c>
      <c r="C48" s="31">
        <v>552.78</v>
      </c>
      <c r="D48" s="31">
        <v>111.06</v>
      </c>
      <c r="E48" s="31">
        <v>429.48</v>
      </c>
      <c r="F48" s="31">
        <v>325.68</v>
      </c>
      <c r="G48" s="31">
        <v>261.12</v>
      </c>
      <c r="H48" s="31">
        <v>42.96</v>
      </c>
      <c r="I48" s="31">
        <v>48.96</v>
      </c>
      <c r="J48" s="31">
        <v>24.56</v>
      </c>
      <c r="K48" s="31">
        <v>134.1</v>
      </c>
      <c r="L48" s="31">
        <v>552.29999999999995</v>
      </c>
      <c r="M48" s="31">
        <v>0</v>
      </c>
      <c r="N48" s="31">
        <v>29.88</v>
      </c>
      <c r="O48" s="31">
        <f t="shared" si="0"/>
        <v>2512.88</v>
      </c>
      <c r="P48" s="1">
        <f t="shared" si="1"/>
        <v>12</v>
      </c>
      <c r="Q48" s="31">
        <f t="shared" si="2"/>
        <v>209.40666666666667</v>
      </c>
    </row>
    <row r="49" spans="1:17">
      <c r="A49" s="4" t="s">
        <v>72</v>
      </c>
      <c r="B49" s="1" t="s">
        <v>48</v>
      </c>
      <c r="C49" s="31">
        <v>6696</v>
      </c>
      <c r="D49" s="31">
        <v>6623</v>
      </c>
      <c r="E49" s="31">
        <v>5830</v>
      </c>
      <c r="F49" s="31">
        <v>7277</v>
      </c>
      <c r="G49" s="31">
        <v>5460</v>
      </c>
      <c r="H49" s="31">
        <v>4341</v>
      </c>
      <c r="I49" s="31">
        <v>3960</v>
      </c>
      <c r="J49" s="31">
        <v>5055</v>
      </c>
      <c r="K49" s="31">
        <v>6988</v>
      </c>
      <c r="L49" s="31">
        <v>7712</v>
      </c>
      <c r="M49" s="31">
        <v>7586</v>
      </c>
      <c r="N49" s="31">
        <v>6991</v>
      </c>
      <c r="O49" s="31">
        <f t="shared" si="0"/>
        <v>74519</v>
      </c>
      <c r="P49" s="1">
        <f t="shared" si="1"/>
        <v>12</v>
      </c>
      <c r="Q49" s="31">
        <f t="shared" si="2"/>
        <v>6209.916666666667</v>
      </c>
    </row>
    <row r="50" spans="1:17">
      <c r="A50" s="4" t="s">
        <v>65</v>
      </c>
      <c r="B50" s="1" t="s">
        <v>67</v>
      </c>
      <c r="C50" s="31">
        <v>18866.759999999998</v>
      </c>
      <c r="D50" s="31">
        <v>17030.16</v>
      </c>
      <c r="E50" s="31">
        <v>17785.560000000001</v>
      </c>
      <c r="F50" s="31">
        <v>22083.3</v>
      </c>
      <c r="G50" s="31">
        <v>17078.22</v>
      </c>
      <c r="H50" s="31">
        <v>14900.82</v>
      </c>
      <c r="I50" s="31">
        <v>14055.72</v>
      </c>
      <c r="J50" s="31">
        <v>19730.7</v>
      </c>
      <c r="K50" s="31">
        <v>14915.7</v>
      </c>
      <c r="L50" s="31">
        <v>20058.66</v>
      </c>
      <c r="M50" s="31">
        <v>18725.099999999999</v>
      </c>
      <c r="N50" s="31">
        <v>16795.810000000001</v>
      </c>
      <c r="O50" s="31">
        <f t="shared" si="0"/>
        <v>212026.51000000004</v>
      </c>
      <c r="P50" s="1">
        <f t="shared" si="1"/>
        <v>12</v>
      </c>
      <c r="Q50" s="31">
        <f t="shared" si="2"/>
        <v>17668.875833333335</v>
      </c>
    </row>
    <row r="51" spans="1:17">
      <c r="A51" s="4">
        <v>70071</v>
      </c>
      <c r="B51" s="1" t="s">
        <v>49</v>
      </c>
      <c r="C51" s="31">
        <v>497.6</v>
      </c>
      <c r="D51" s="31">
        <v>333.12</v>
      </c>
      <c r="E51" s="31">
        <v>418.32</v>
      </c>
      <c r="F51" s="31">
        <v>784.15</v>
      </c>
      <c r="G51" s="31">
        <v>362.82</v>
      </c>
      <c r="H51" s="31">
        <v>124.26</v>
      </c>
      <c r="I51" s="31">
        <v>118.26</v>
      </c>
      <c r="J51" s="31">
        <v>73.680000000000007</v>
      </c>
      <c r="K51" s="31">
        <v>213.84</v>
      </c>
      <c r="L51" s="31">
        <v>1047.6600000000001</v>
      </c>
      <c r="M51" s="31">
        <v>573.05999999999995</v>
      </c>
      <c r="N51" s="31">
        <v>360.9</v>
      </c>
      <c r="O51" s="31">
        <f t="shared" si="0"/>
        <v>4907.67</v>
      </c>
      <c r="P51" s="1">
        <f t="shared" si="1"/>
        <v>12</v>
      </c>
      <c r="Q51" s="31">
        <f t="shared" si="2"/>
        <v>408.97250000000003</v>
      </c>
    </row>
    <row r="52" spans="1:17">
      <c r="A52" s="4">
        <v>70072</v>
      </c>
      <c r="B52" s="1" t="s">
        <v>50</v>
      </c>
      <c r="C52" s="31">
        <v>7914.82</v>
      </c>
      <c r="D52" s="31">
        <v>6630.3</v>
      </c>
      <c r="E52" s="31">
        <v>7165.62</v>
      </c>
      <c r="F52" s="31">
        <v>6949.23</v>
      </c>
      <c r="G52" s="31">
        <v>4959.6499999999996</v>
      </c>
      <c r="H52" s="31">
        <v>3757.52</v>
      </c>
      <c r="I52" s="31">
        <v>4138.45</v>
      </c>
      <c r="J52" s="31">
        <v>4530.28</v>
      </c>
      <c r="K52" s="31">
        <v>3559.75</v>
      </c>
      <c r="L52" s="31">
        <v>7203.8</v>
      </c>
      <c r="M52" s="31">
        <v>7592.02</v>
      </c>
      <c r="N52" s="31">
        <v>7437.47</v>
      </c>
      <c r="O52" s="31">
        <f t="shared" si="0"/>
        <v>71838.909999999989</v>
      </c>
      <c r="P52" s="1">
        <f t="shared" si="1"/>
        <v>12</v>
      </c>
      <c r="Q52" s="31">
        <f t="shared" si="2"/>
        <v>5986.5758333333324</v>
      </c>
    </row>
    <row r="53" spans="1:17">
      <c r="A53" s="4">
        <v>70075</v>
      </c>
      <c r="B53" s="1" t="s">
        <v>53</v>
      </c>
      <c r="C53" s="31">
        <v>7674.34</v>
      </c>
      <c r="D53" s="31">
        <v>6887.2</v>
      </c>
      <c r="E53" s="31">
        <v>6253.47</v>
      </c>
      <c r="F53" s="31">
        <v>6915.88</v>
      </c>
      <c r="G53" s="31">
        <v>5547.73</v>
      </c>
      <c r="H53" s="31">
        <v>4620.58</v>
      </c>
      <c r="I53" s="31">
        <v>4647.9799999999996</v>
      </c>
      <c r="J53" s="31">
        <v>4613.67</v>
      </c>
      <c r="K53" s="31">
        <v>6139.34</v>
      </c>
      <c r="L53" s="31">
        <v>7400.83</v>
      </c>
      <c r="M53" s="31">
        <v>6970.1</v>
      </c>
      <c r="N53" s="31">
        <v>6954.58</v>
      </c>
      <c r="O53" s="31">
        <f t="shared" si="0"/>
        <v>74625.700000000012</v>
      </c>
      <c r="P53" s="1">
        <f t="shared" si="1"/>
        <v>12</v>
      </c>
      <c r="Q53" s="31">
        <f t="shared" si="2"/>
        <v>6218.8083333333343</v>
      </c>
    </row>
    <row r="54" spans="1:17">
      <c r="A54" s="4">
        <v>70076</v>
      </c>
      <c r="B54" s="1" t="s">
        <v>54</v>
      </c>
      <c r="C54" s="31">
        <v>9478.9500000000007</v>
      </c>
      <c r="D54" s="31">
        <v>8397.27</v>
      </c>
      <c r="E54" s="31">
        <v>8492.84</v>
      </c>
      <c r="F54" s="31">
        <v>9829.69</v>
      </c>
      <c r="G54" s="31">
        <v>7645.1</v>
      </c>
      <c r="H54" s="31">
        <v>4749.8500000000004</v>
      </c>
      <c r="I54" s="31">
        <v>5778.96</v>
      </c>
      <c r="J54" s="31">
        <v>7791.75</v>
      </c>
      <c r="K54" s="31">
        <v>8410.18</v>
      </c>
      <c r="L54" s="31">
        <v>10092.799999999999</v>
      </c>
      <c r="M54" s="31">
        <v>9120.2000000000007</v>
      </c>
      <c r="N54" s="31">
        <v>8805.77</v>
      </c>
      <c r="O54" s="31">
        <f t="shared" si="0"/>
        <v>98593.36</v>
      </c>
      <c r="P54" s="1">
        <f t="shared" si="1"/>
        <v>12</v>
      </c>
      <c r="Q54" s="31">
        <f t="shared" si="2"/>
        <v>8216.1133333333328</v>
      </c>
    </row>
    <row r="55" spans="1:17">
      <c r="A55" s="4">
        <v>70077</v>
      </c>
      <c r="B55" s="1" t="s">
        <v>98</v>
      </c>
      <c r="C55" s="31">
        <v>7551.47</v>
      </c>
      <c r="D55" s="31">
        <v>6731.24</v>
      </c>
      <c r="E55" s="31">
        <v>7203.84</v>
      </c>
      <c r="F55" s="31">
        <v>7898.8</v>
      </c>
      <c r="G55" s="31">
        <v>6545.47</v>
      </c>
      <c r="H55" s="31">
        <v>5042.04</v>
      </c>
      <c r="I55" s="31">
        <v>5963.76</v>
      </c>
      <c r="J55" s="31">
        <v>6141.83</v>
      </c>
      <c r="K55" s="31">
        <v>8410.18</v>
      </c>
      <c r="L55" s="31">
        <v>8216.2800000000007</v>
      </c>
      <c r="M55" s="31">
        <v>7003.56</v>
      </c>
      <c r="N55" s="31">
        <v>7429.78</v>
      </c>
      <c r="O55" s="31">
        <f t="shared" si="0"/>
        <v>84138.25</v>
      </c>
      <c r="P55" s="1">
        <f t="shared" si="1"/>
        <v>12</v>
      </c>
      <c r="Q55" s="31">
        <f t="shared" si="2"/>
        <v>7011.520833333333</v>
      </c>
    </row>
    <row r="56" spans="1:17">
      <c r="A56" s="4">
        <v>70078</v>
      </c>
      <c r="B56" s="1" t="s">
        <v>55</v>
      </c>
      <c r="C56" s="31">
        <v>12777.34</v>
      </c>
      <c r="D56" s="31">
        <v>11446.03</v>
      </c>
      <c r="E56" s="31">
        <v>13964.75</v>
      </c>
      <c r="F56" s="31">
        <v>12846.96</v>
      </c>
      <c r="G56" s="31">
        <v>10138.11</v>
      </c>
      <c r="H56" s="31">
        <v>10655.89</v>
      </c>
      <c r="I56" s="31">
        <v>8790.93</v>
      </c>
      <c r="J56" s="31">
        <v>9879.74</v>
      </c>
      <c r="K56" s="31">
        <v>14281.9</v>
      </c>
      <c r="L56" s="31">
        <v>13574.17</v>
      </c>
      <c r="M56" s="31">
        <v>12434.83</v>
      </c>
      <c r="N56" s="31">
        <v>14139.97</v>
      </c>
      <c r="O56" s="31">
        <f t="shared" si="0"/>
        <v>144930.62</v>
      </c>
      <c r="P56" s="1">
        <f t="shared" si="1"/>
        <v>12</v>
      </c>
      <c r="Q56" s="31">
        <f t="shared" si="2"/>
        <v>12077.551666666666</v>
      </c>
    </row>
    <row r="57" spans="1:17">
      <c r="A57" s="4">
        <v>70079</v>
      </c>
      <c r="B57" s="1" t="s">
        <v>56</v>
      </c>
      <c r="C57" s="31">
        <v>12574.79</v>
      </c>
      <c r="D57" s="31">
        <v>12419.5</v>
      </c>
      <c r="E57" s="31">
        <v>10769.5</v>
      </c>
      <c r="F57" s="31">
        <v>12933.69</v>
      </c>
      <c r="G57" s="31">
        <v>10244.32</v>
      </c>
      <c r="H57" s="31">
        <v>7198.86</v>
      </c>
      <c r="I57" s="31">
        <v>7789.95</v>
      </c>
      <c r="J57" s="31">
        <v>8921</v>
      </c>
      <c r="K57" s="31">
        <v>11771.19</v>
      </c>
      <c r="L57" s="31">
        <v>13634.66</v>
      </c>
      <c r="M57" s="31">
        <v>13222.05</v>
      </c>
      <c r="N57" s="31">
        <v>11700.23</v>
      </c>
      <c r="O57" s="31">
        <f t="shared" si="0"/>
        <v>133179.74000000002</v>
      </c>
      <c r="P57" s="1">
        <f t="shared" si="1"/>
        <v>12</v>
      </c>
      <c r="Q57" s="31">
        <f t="shared" si="2"/>
        <v>11098.311666666668</v>
      </c>
    </row>
    <row r="58" spans="1:17">
      <c r="A58" s="4">
        <v>70080</v>
      </c>
      <c r="B58" s="1" t="s">
        <v>57</v>
      </c>
      <c r="C58" s="31">
        <v>4819.8999999999996</v>
      </c>
      <c r="D58" s="31">
        <v>3417.85</v>
      </c>
      <c r="E58" s="31">
        <v>2281.46</v>
      </c>
      <c r="F58" s="31">
        <v>4753.17</v>
      </c>
      <c r="G58" s="31">
        <v>2355.62</v>
      </c>
      <c r="H58" s="31">
        <v>1984.11</v>
      </c>
      <c r="I58" s="31">
        <v>2278.4499999999998</v>
      </c>
      <c r="J58" s="31">
        <v>2152.29</v>
      </c>
      <c r="K58" s="31">
        <v>3359.57</v>
      </c>
      <c r="L58" s="31">
        <v>4546.17</v>
      </c>
      <c r="M58" s="31">
        <v>3559.8</v>
      </c>
      <c r="N58" s="31">
        <v>4403.57</v>
      </c>
      <c r="O58" s="31">
        <f t="shared" si="0"/>
        <v>39911.960000000006</v>
      </c>
      <c r="P58" s="1">
        <f t="shared" si="1"/>
        <v>12</v>
      </c>
      <c r="Q58" s="31">
        <f t="shared" si="2"/>
        <v>3325.9966666666674</v>
      </c>
    </row>
    <row r="59" spans="1:17">
      <c r="A59" s="4">
        <v>70081</v>
      </c>
      <c r="B59" s="1" t="s">
        <v>58</v>
      </c>
      <c r="C59" s="31">
        <v>31643.43</v>
      </c>
      <c r="D59" s="31">
        <v>30718.94</v>
      </c>
      <c r="E59" s="31">
        <v>49263</v>
      </c>
      <c r="F59" s="31">
        <v>38108.86</v>
      </c>
      <c r="G59" s="31">
        <v>28758.6</v>
      </c>
      <c r="H59" s="31">
        <v>19500.46</v>
      </c>
      <c r="I59" s="31">
        <v>19129.13</v>
      </c>
      <c r="J59" s="31">
        <v>23761.02</v>
      </c>
      <c r="K59" s="31">
        <v>37233.67</v>
      </c>
      <c r="L59" s="31">
        <v>41404.04</v>
      </c>
      <c r="M59" s="31">
        <v>39516.82</v>
      </c>
      <c r="N59" s="31">
        <v>36793.32</v>
      </c>
      <c r="O59" s="31">
        <f t="shared" si="0"/>
        <v>395831.29</v>
      </c>
      <c r="P59" s="1">
        <f t="shared" si="1"/>
        <v>12</v>
      </c>
      <c r="Q59" s="31">
        <f t="shared" si="2"/>
        <v>32985.940833333334</v>
      </c>
    </row>
    <row r="60" spans="1:17">
      <c r="A60" s="4">
        <v>70082</v>
      </c>
      <c r="B60" s="1" t="s">
        <v>59</v>
      </c>
      <c r="C60" s="31">
        <v>3629.7</v>
      </c>
      <c r="D60" s="31">
        <v>3428.07</v>
      </c>
      <c r="E60" s="31">
        <v>2984.16</v>
      </c>
      <c r="F60" s="31">
        <v>3360.15</v>
      </c>
      <c r="G60" s="31">
        <v>2837.05</v>
      </c>
      <c r="H60" s="31">
        <v>2589.09</v>
      </c>
      <c r="I60" s="31">
        <v>2131.85</v>
      </c>
      <c r="J60" s="31">
        <v>2320.5100000000002</v>
      </c>
      <c r="K60" s="31">
        <v>3060.05</v>
      </c>
      <c r="L60" s="31">
        <v>3646.5</v>
      </c>
      <c r="M60" s="31">
        <v>3196.06</v>
      </c>
      <c r="N60" s="31">
        <v>3333.13</v>
      </c>
      <c r="O60" s="31">
        <f t="shared" si="0"/>
        <v>36516.32</v>
      </c>
      <c r="P60" s="1">
        <f t="shared" si="1"/>
        <v>12</v>
      </c>
      <c r="Q60" s="31">
        <f t="shared" si="2"/>
        <v>3043.0266666666666</v>
      </c>
    </row>
    <row r="61" spans="1:17">
      <c r="A61" s="4">
        <v>70084</v>
      </c>
      <c r="B61" s="1" t="s">
        <v>64</v>
      </c>
      <c r="C61" s="31">
        <v>4853.6000000000004</v>
      </c>
      <c r="D61" s="31">
        <v>3249.94</v>
      </c>
      <c r="E61" s="31">
        <v>3350.55</v>
      </c>
      <c r="F61" s="31">
        <v>3871.68</v>
      </c>
      <c r="G61" s="31">
        <v>2667.67</v>
      </c>
      <c r="H61" s="31">
        <v>2666.34</v>
      </c>
      <c r="I61" s="31">
        <v>2443.71</v>
      </c>
      <c r="J61" s="31">
        <v>2820.62</v>
      </c>
      <c r="K61" s="31">
        <v>3628.88</v>
      </c>
      <c r="L61" s="31">
        <v>4387.09</v>
      </c>
      <c r="M61" s="31">
        <v>3380.95</v>
      </c>
      <c r="N61" s="31">
        <v>3365.58</v>
      </c>
      <c r="O61" s="31">
        <f t="shared" si="0"/>
        <v>40686.61</v>
      </c>
      <c r="P61" s="1">
        <f t="shared" si="1"/>
        <v>12</v>
      </c>
      <c r="Q61" s="31">
        <f t="shared" si="2"/>
        <v>3390.5508333333332</v>
      </c>
    </row>
    <row r="62" spans="1:17">
      <c r="A62" s="4">
        <v>70086</v>
      </c>
      <c r="B62" s="1" t="s">
        <v>85</v>
      </c>
      <c r="C62" s="31">
        <v>364.89</v>
      </c>
      <c r="D62" s="31">
        <v>241.47</v>
      </c>
      <c r="E62" s="31">
        <v>326.7</v>
      </c>
      <c r="F62" s="31">
        <v>510.78</v>
      </c>
      <c r="G62" s="31">
        <v>316.08</v>
      </c>
      <c r="H62" s="31">
        <v>270.8</v>
      </c>
      <c r="I62" s="31">
        <v>341.47</v>
      </c>
      <c r="J62" s="31">
        <v>261.63</v>
      </c>
      <c r="K62" s="31">
        <v>408.47</v>
      </c>
      <c r="L62" s="31">
        <v>511.55</v>
      </c>
      <c r="M62" s="31">
        <v>635.75</v>
      </c>
      <c r="N62" s="31">
        <v>375.01</v>
      </c>
      <c r="O62" s="31">
        <f t="shared" si="0"/>
        <v>4564.6000000000004</v>
      </c>
      <c r="P62" s="1">
        <f t="shared" si="1"/>
        <v>12</v>
      </c>
      <c r="Q62" s="31">
        <f t="shared" si="2"/>
        <v>380.38333333333338</v>
      </c>
    </row>
    <row r="63" spans="1:17">
      <c r="A63" s="4">
        <v>70087</v>
      </c>
      <c r="B63" s="1" t="s">
        <v>87</v>
      </c>
      <c r="C63" s="31">
        <v>4358.87</v>
      </c>
      <c r="D63" s="31">
        <v>2273.3000000000002</v>
      </c>
      <c r="E63" s="31">
        <v>3494.7</v>
      </c>
      <c r="F63" s="31">
        <v>1875.1579999999999</v>
      </c>
      <c r="G63" s="31">
        <v>5306.94</v>
      </c>
      <c r="H63" s="31">
        <v>3905.16</v>
      </c>
      <c r="I63" s="31">
        <v>1714.14</v>
      </c>
      <c r="J63" s="31">
        <v>1069.08</v>
      </c>
      <c r="K63" s="31">
        <v>1437.96</v>
      </c>
      <c r="L63" s="31">
        <v>2844.78</v>
      </c>
      <c r="M63" s="31">
        <v>1563.36</v>
      </c>
      <c r="N63" s="31">
        <v>1759.62</v>
      </c>
      <c r="O63" s="31">
        <f t="shared" si="0"/>
        <v>31603.067999999996</v>
      </c>
      <c r="P63" s="1">
        <f t="shared" si="1"/>
        <v>12</v>
      </c>
      <c r="Q63" s="31">
        <f t="shared" si="2"/>
        <v>2633.5889999999995</v>
      </c>
    </row>
    <row r="64" spans="1:17">
      <c r="A64" s="4">
        <v>70088</v>
      </c>
      <c r="B64" s="1" t="s">
        <v>88</v>
      </c>
      <c r="C64" s="31">
        <v>715.53</v>
      </c>
      <c r="D64" s="31">
        <v>714.94</v>
      </c>
      <c r="E64" s="31">
        <v>653.66999999999996</v>
      </c>
      <c r="F64" s="31">
        <v>765.9</v>
      </c>
      <c r="G64" s="31">
        <v>447.98</v>
      </c>
      <c r="H64" s="31">
        <v>302.36</v>
      </c>
      <c r="I64" s="31">
        <v>185.79</v>
      </c>
      <c r="J64" s="31">
        <v>198.07</v>
      </c>
      <c r="K64" s="31">
        <v>375.78</v>
      </c>
      <c r="L64" s="31">
        <v>900.14</v>
      </c>
      <c r="M64" s="31">
        <v>903.12</v>
      </c>
      <c r="N64" s="31">
        <v>215.25</v>
      </c>
      <c r="O64" s="31">
        <f t="shared" si="0"/>
        <v>6378.5300000000007</v>
      </c>
      <c r="P64" s="1">
        <f t="shared" si="1"/>
        <v>12</v>
      </c>
      <c r="Q64" s="31">
        <f t="shared" si="2"/>
        <v>531.54416666666668</v>
      </c>
    </row>
    <row r="65" spans="1:17">
      <c r="A65" s="4" t="s">
        <v>104</v>
      </c>
      <c r="B65" s="1" t="s">
        <v>89</v>
      </c>
      <c r="C65" s="31">
        <v>6387.47</v>
      </c>
      <c r="D65" s="31">
        <v>5624.06</v>
      </c>
      <c r="E65" s="31">
        <v>6674.43</v>
      </c>
      <c r="F65" s="31">
        <v>5618.25</v>
      </c>
      <c r="G65" s="31">
        <v>4980.29</v>
      </c>
      <c r="H65" s="31">
        <v>2030.06</v>
      </c>
      <c r="I65" s="31">
        <v>2894.96</v>
      </c>
      <c r="J65" s="31">
        <v>2496.96</v>
      </c>
      <c r="K65" s="31">
        <v>3306.92</v>
      </c>
      <c r="L65" s="31">
        <v>5046.78</v>
      </c>
      <c r="M65" s="31">
        <v>3639.08</v>
      </c>
      <c r="N65" s="31">
        <v>3907.38</v>
      </c>
      <c r="O65" s="31">
        <f t="shared" si="0"/>
        <v>52606.64</v>
      </c>
      <c r="P65" s="1">
        <f t="shared" si="1"/>
        <v>12</v>
      </c>
      <c r="Q65" s="31">
        <f t="shared" si="2"/>
        <v>4383.8866666666663</v>
      </c>
    </row>
    <row r="66" spans="1:17">
      <c r="A66" s="4">
        <v>70090</v>
      </c>
      <c r="B66" s="1" t="s">
        <v>90</v>
      </c>
      <c r="C66" s="31">
        <v>12724.31</v>
      </c>
      <c r="D66" s="31">
        <v>12596.61</v>
      </c>
      <c r="E66" s="31">
        <v>15227.51</v>
      </c>
      <c r="F66" s="31">
        <v>13539.67</v>
      </c>
      <c r="G66" s="31">
        <v>10414.83</v>
      </c>
      <c r="H66" s="31">
        <v>11007.44</v>
      </c>
      <c r="I66" s="31">
        <v>9312.68</v>
      </c>
      <c r="J66" s="31">
        <v>10470.24</v>
      </c>
      <c r="K66" s="31">
        <v>14744.04</v>
      </c>
      <c r="L66" s="31">
        <v>13744.99</v>
      </c>
      <c r="M66" s="31">
        <v>13262.18</v>
      </c>
      <c r="N66" s="31">
        <v>15362.68</v>
      </c>
      <c r="O66" s="31">
        <f t="shared" si="0"/>
        <v>152407.18</v>
      </c>
      <c r="P66" s="1">
        <f t="shared" si="1"/>
        <v>12</v>
      </c>
      <c r="Q66" s="31">
        <f t="shared" si="2"/>
        <v>12700.598333333333</v>
      </c>
    </row>
    <row r="67" spans="1:17">
      <c r="A67" s="4">
        <v>70091</v>
      </c>
      <c r="B67" s="1" t="s">
        <v>91</v>
      </c>
      <c r="C67" s="31">
        <v>13092.56</v>
      </c>
      <c r="D67" s="31">
        <v>11015.33</v>
      </c>
      <c r="E67" s="31">
        <v>16489.34</v>
      </c>
      <c r="F67" s="31">
        <v>15307.98</v>
      </c>
      <c r="G67" s="31">
        <v>9914.61</v>
      </c>
      <c r="H67" s="31">
        <v>9638.7999999999993</v>
      </c>
      <c r="I67" s="31">
        <v>7535.89</v>
      </c>
      <c r="J67" s="31">
        <v>10384.31</v>
      </c>
      <c r="K67" s="31">
        <v>14609.22</v>
      </c>
      <c r="L67" s="31">
        <v>15038.19</v>
      </c>
      <c r="M67" s="31">
        <v>13245.81</v>
      </c>
      <c r="N67" s="31">
        <v>14410.6</v>
      </c>
      <c r="O67" s="31">
        <f t="shared" ref="O67:O74" si="3">SUM(C67:N67)</f>
        <v>150682.64000000001</v>
      </c>
      <c r="P67" s="1">
        <f t="shared" ref="P67:P74" si="4">+COUNT(C67:N67)</f>
        <v>12</v>
      </c>
      <c r="Q67" s="31">
        <f t="shared" ref="Q67:Q73" si="5">+O67/P67</f>
        <v>12556.886666666667</v>
      </c>
    </row>
    <row r="68" spans="1:17">
      <c r="A68" s="4">
        <v>70092</v>
      </c>
      <c r="B68" s="1" t="s">
        <v>93</v>
      </c>
      <c r="C68" s="31">
        <v>11998.57</v>
      </c>
      <c r="D68" s="31">
        <v>10438.709999999999</v>
      </c>
      <c r="E68" s="7"/>
      <c r="F68" s="31">
        <v>12640.85</v>
      </c>
      <c r="G68" s="31">
        <v>9654.3799999999992</v>
      </c>
      <c r="H68" s="31">
        <v>6501.61</v>
      </c>
      <c r="I68" s="7"/>
      <c r="J68" s="35"/>
      <c r="K68" s="31">
        <v>10825.3</v>
      </c>
      <c r="L68" s="31">
        <v>13110.59</v>
      </c>
      <c r="M68" s="31">
        <v>12551.09</v>
      </c>
      <c r="N68" s="31">
        <v>12292.93</v>
      </c>
      <c r="O68" s="31">
        <f t="shared" si="3"/>
        <v>100014.03</v>
      </c>
      <c r="P68" s="1">
        <f t="shared" si="4"/>
        <v>9</v>
      </c>
      <c r="Q68" s="31">
        <f t="shared" si="5"/>
        <v>11112.67</v>
      </c>
    </row>
    <row r="69" spans="1:17">
      <c r="A69" s="4">
        <v>70093</v>
      </c>
      <c r="B69" s="1" t="s">
        <v>94</v>
      </c>
      <c r="C69" s="31">
        <v>2760.78</v>
      </c>
      <c r="D69" s="31">
        <v>1792.99</v>
      </c>
      <c r="E69" s="31">
        <v>2578.04</v>
      </c>
      <c r="F69" s="31">
        <v>2047.58</v>
      </c>
      <c r="G69" s="31">
        <v>1560.42</v>
      </c>
      <c r="H69" s="31">
        <v>1605.53</v>
      </c>
      <c r="I69" s="31">
        <v>2664.5</v>
      </c>
      <c r="J69" s="31">
        <v>1229.77</v>
      </c>
      <c r="K69" s="31">
        <v>1785.13</v>
      </c>
      <c r="L69" s="31">
        <v>2399.69</v>
      </c>
      <c r="M69" s="31">
        <v>2114.59</v>
      </c>
      <c r="N69" s="31">
        <v>1813.01</v>
      </c>
      <c r="O69" s="31">
        <f t="shared" si="3"/>
        <v>24352.03</v>
      </c>
      <c r="P69" s="1">
        <f t="shared" si="4"/>
        <v>12</v>
      </c>
      <c r="Q69" s="31">
        <f t="shared" si="5"/>
        <v>2029.3358333333333</v>
      </c>
    </row>
    <row r="70" spans="1:17">
      <c r="A70" s="4">
        <v>70094</v>
      </c>
      <c r="B70" s="1" t="s">
        <v>95</v>
      </c>
      <c r="C70" s="31">
        <v>669.36</v>
      </c>
      <c r="D70" s="31">
        <v>392.94</v>
      </c>
      <c r="E70" s="31">
        <v>588.36</v>
      </c>
      <c r="F70" s="31">
        <v>880.68</v>
      </c>
      <c r="G70" s="31">
        <v>358.92</v>
      </c>
      <c r="H70" s="31">
        <v>114.18</v>
      </c>
      <c r="I70" s="31">
        <v>399.6</v>
      </c>
      <c r="J70" s="31">
        <v>79.14</v>
      </c>
      <c r="K70" s="31">
        <v>319.5</v>
      </c>
      <c r="L70" s="31">
        <v>726.3</v>
      </c>
      <c r="M70" s="31">
        <v>565.74</v>
      </c>
      <c r="N70" s="31">
        <v>194.16</v>
      </c>
      <c r="O70" s="31">
        <f t="shared" si="3"/>
        <v>5288.8799999999992</v>
      </c>
      <c r="P70" s="1">
        <f t="shared" si="4"/>
        <v>12</v>
      </c>
      <c r="Q70" s="31">
        <f t="shared" si="5"/>
        <v>440.73999999999995</v>
      </c>
    </row>
    <row r="71" spans="1:17">
      <c r="A71" s="4">
        <v>70095</v>
      </c>
      <c r="B71" s="1" t="s">
        <v>48</v>
      </c>
      <c r="C71" s="31">
        <v>11398.05</v>
      </c>
      <c r="D71" s="31">
        <v>8576.41</v>
      </c>
      <c r="E71" s="31">
        <v>9313.2199999999993</v>
      </c>
      <c r="F71" s="31">
        <v>11841.66</v>
      </c>
      <c r="G71" s="31">
        <v>7414.89</v>
      </c>
      <c r="H71" s="31">
        <v>5146.72</v>
      </c>
      <c r="I71" s="31">
        <v>6017.9</v>
      </c>
      <c r="J71" s="31">
        <v>7712.72</v>
      </c>
      <c r="K71" s="31">
        <v>8771.2999999999993</v>
      </c>
      <c r="L71" s="31">
        <v>12541.13</v>
      </c>
      <c r="M71" s="31">
        <v>11242.34</v>
      </c>
      <c r="N71" s="31">
        <v>10409.75</v>
      </c>
      <c r="O71" s="31">
        <f t="shared" si="3"/>
        <v>110386.09</v>
      </c>
      <c r="P71" s="1">
        <f t="shared" si="4"/>
        <v>12</v>
      </c>
      <c r="Q71" s="31">
        <f t="shared" si="5"/>
        <v>9198.8408333333336</v>
      </c>
    </row>
    <row r="72" spans="1:17">
      <c r="A72" s="4">
        <v>70097</v>
      </c>
      <c r="B72" s="1" t="s">
        <v>100</v>
      </c>
      <c r="C72" s="31"/>
      <c r="D72" s="31"/>
      <c r="E72" s="31"/>
      <c r="F72" s="31"/>
      <c r="G72" s="31">
        <v>1248.74</v>
      </c>
      <c r="H72" s="31">
        <v>1068.72</v>
      </c>
      <c r="I72" s="31">
        <v>1630.48</v>
      </c>
      <c r="J72" s="31">
        <v>2040.15</v>
      </c>
      <c r="K72" s="31">
        <v>2392.38</v>
      </c>
      <c r="L72" s="31">
        <v>4618.37</v>
      </c>
      <c r="M72" s="31">
        <v>3808.29</v>
      </c>
      <c r="N72" s="31">
        <v>3381.27</v>
      </c>
      <c r="O72" s="31">
        <f t="shared" si="3"/>
        <v>20188.400000000001</v>
      </c>
      <c r="P72" s="1">
        <f t="shared" si="4"/>
        <v>8</v>
      </c>
      <c r="Q72" s="31">
        <f t="shared" si="5"/>
        <v>2523.5500000000002</v>
      </c>
    </row>
    <row r="73" spans="1:17">
      <c r="A73" s="4">
        <v>70098</v>
      </c>
      <c r="B73" s="1" t="s">
        <v>102</v>
      </c>
      <c r="C73" s="31"/>
      <c r="D73" s="31"/>
      <c r="E73" s="31"/>
      <c r="F73" s="31"/>
      <c r="G73" s="31"/>
      <c r="I73" s="31">
        <v>13.5</v>
      </c>
      <c r="J73" s="31">
        <v>13.5</v>
      </c>
      <c r="K73" s="31"/>
      <c r="L73" s="31">
        <v>189</v>
      </c>
      <c r="M73" s="31">
        <v>134.80000000000001</v>
      </c>
      <c r="N73" s="31"/>
      <c r="O73" s="31">
        <f t="shared" si="3"/>
        <v>350.8</v>
      </c>
      <c r="P73" s="1">
        <f t="shared" si="4"/>
        <v>4</v>
      </c>
      <c r="Q73" s="31">
        <f t="shared" si="5"/>
        <v>87.7</v>
      </c>
    </row>
    <row r="74" spans="1:17">
      <c r="A74" s="21">
        <v>70099</v>
      </c>
      <c r="B74" s="22" t="s">
        <v>93</v>
      </c>
      <c r="C74" s="34"/>
      <c r="D74" s="34"/>
      <c r="E74" s="34"/>
      <c r="F74" s="34"/>
      <c r="G74" s="34"/>
      <c r="H74" s="22"/>
      <c r="I74" s="34"/>
      <c r="J74" s="34"/>
      <c r="K74" s="34"/>
      <c r="L74" s="34"/>
      <c r="M74" s="34"/>
      <c r="N74" s="34"/>
      <c r="O74" s="34">
        <f t="shared" si="3"/>
        <v>0</v>
      </c>
      <c r="P74" s="22">
        <f t="shared" si="4"/>
        <v>0</v>
      </c>
      <c r="Q74" s="34"/>
    </row>
    <row r="75" spans="1:17">
      <c r="A75" s="4"/>
      <c r="C75" s="31"/>
      <c r="D75" s="31"/>
      <c r="E75" s="31"/>
      <c r="F75" s="31"/>
      <c r="G75" s="31"/>
      <c r="H75" s="31"/>
      <c r="I75" s="31"/>
    </row>
    <row r="76" spans="1:17">
      <c r="B76" s="1" t="s">
        <v>140</v>
      </c>
      <c r="C76" s="31">
        <f>+SUM(C2:C74)</f>
        <v>707960.75000000012</v>
      </c>
      <c r="D76" s="31">
        <f t="shared" ref="D76:O76" si="6">+SUM(D2:D74)</f>
        <v>552152.64999999979</v>
      </c>
      <c r="E76" s="31">
        <f t="shared" si="6"/>
        <v>607958.79999999993</v>
      </c>
      <c r="F76" s="31">
        <f t="shared" si="6"/>
        <v>703095.62800000003</v>
      </c>
      <c r="G76" s="31">
        <f t="shared" si="6"/>
        <v>487646.01999999979</v>
      </c>
      <c r="H76" s="31">
        <f t="shared" si="6"/>
        <v>373378.00999999978</v>
      </c>
      <c r="I76" s="31">
        <f t="shared" si="6"/>
        <v>359413.08999999997</v>
      </c>
      <c r="J76" s="31">
        <f t="shared" si="6"/>
        <v>420733.30000000005</v>
      </c>
      <c r="K76" s="31">
        <f t="shared" si="6"/>
        <v>532915.75</v>
      </c>
      <c r="L76" s="31">
        <f t="shared" si="6"/>
        <v>701715.61000000022</v>
      </c>
      <c r="M76" s="31">
        <f t="shared" si="6"/>
        <v>663397.20599999989</v>
      </c>
      <c r="N76" s="31">
        <f t="shared" si="6"/>
        <v>584156.52800000005</v>
      </c>
      <c r="O76" s="31">
        <f t="shared" si="6"/>
        <v>6694523.3420000002</v>
      </c>
      <c r="Q76" s="31">
        <f>+O76/12</f>
        <v>557876.94516666664</v>
      </c>
    </row>
  </sheetData>
  <phoneticPr fontId="3" type="noConversion"/>
  <printOptions horizontalCentered="1"/>
  <pageMargins left="0.25" right="0.25" top="1" bottom="0.75" header="0.5" footer="0.5"/>
  <pageSetup scale="72" fitToHeight="2" orientation="landscape" r:id="rId1"/>
  <headerFooter alignWithMargins="0">
    <oddHeader>&amp;C&amp;"Arial,Bold"&amp;22Occupancy Tax Receipts
Fiscal Year 2006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77"/>
  <sheetViews>
    <sheetView topLeftCell="A43" workbookViewId="0">
      <selection activeCell="D73" sqref="D73"/>
    </sheetView>
  </sheetViews>
  <sheetFormatPr defaultColWidth="9.08984375" defaultRowHeight="10"/>
  <cols>
    <col min="1" max="1" width="7.90625" style="1" bestFit="1" customWidth="1"/>
    <col min="2" max="2" width="29.08984375" style="1" bestFit="1" customWidth="1"/>
    <col min="3" max="3" width="12.6328125" style="1" bestFit="1" customWidth="1"/>
    <col min="4" max="14" width="10.6328125" style="1" bestFit="1" customWidth="1"/>
    <col min="15" max="15" width="12" style="1" bestFit="1" customWidth="1"/>
    <col min="16" max="16" width="13.453125" style="1" hidden="1" customWidth="1"/>
    <col min="17" max="17" width="10.6328125" style="1" bestFit="1" customWidth="1"/>
    <col min="18" max="16384" width="9.08984375" style="1"/>
  </cols>
  <sheetData>
    <row r="1" spans="1:17" s="17" customFormat="1" ht="21">
      <c r="A1" s="14" t="s">
        <v>82</v>
      </c>
      <c r="B1" s="15" t="s">
        <v>0</v>
      </c>
      <c r="C1" s="16" t="s">
        <v>209</v>
      </c>
      <c r="D1" s="16" t="s">
        <v>210</v>
      </c>
      <c r="E1" s="16" t="s">
        <v>211</v>
      </c>
      <c r="F1" s="16" t="s">
        <v>212</v>
      </c>
      <c r="G1" s="16" t="s">
        <v>213</v>
      </c>
      <c r="H1" s="16" t="s">
        <v>214</v>
      </c>
      <c r="I1" s="18" t="s">
        <v>203</v>
      </c>
      <c r="J1" s="18" t="s">
        <v>204</v>
      </c>
      <c r="K1" s="19" t="s">
        <v>205</v>
      </c>
      <c r="L1" s="18" t="s">
        <v>206</v>
      </c>
      <c r="M1" s="18" t="s">
        <v>207</v>
      </c>
      <c r="N1" s="18" t="s">
        <v>208</v>
      </c>
      <c r="O1" s="26" t="s">
        <v>143</v>
      </c>
      <c r="P1" s="26"/>
      <c r="Q1" s="26" t="s">
        <v>142</v>
      </c>
    </row>
    <row r="2" spans="1:17">
      <c r="A2" s="4">
        <v>70000</v>
      </c>
      <c r="B2" s="1" t="s">
        <v>4</v>
      </c>
      <c r="C2" s="5">
        <v>986.33</v>
      </c>
      <c r="D2" s="5">
        <v>1205.1600000000001</v>
      </c>
      <c r="E2" s="31">
        <v>1244.8699999999999</v>
      </c>
      <c r="F2" s="5">
        <v>1244.8699999999999</v>
      </c>
      <c r="G2" s="5">
        <v>1112.93</v>
      </c>
      <c r="H2" s="5">
        <v>1091.29</v>
      </c>
      <c r="I2" s="5">
        <v>946.76</v>
      </c>
      <c r="J2" s="5">
        <v>844.45</v>
      </c>
      <c r="K2" s="5">
        <v>856.36</v>
      </c>
      <c r="L2" s="5">
        <v>1152.3900000000001</v>
      </c>
      <c r="M2" s="5">
        <v>1117.53</v>
      </c>
      <c r="N2" s="5">
        <v>925.44</v>
      </c>
      <c r="O2" s="5">
        <f>SUM(C2:N2)</f>
        <v>12728.380000000001</v>
      </c>
      <c r="P2" s="1">
        <f>+COUNT(C2:N2)</f>
        <v>12</v>
      </c>
      <c r="Q2" s="5">
        <f>+O2/P2</f>
        <v>1060.6983333333335</v>
      </c>
    </row>
    <row r="3" spans="1:17">
      <c r="A3" s="4">
        <v>70001</v>
      </c>
      <c r="B3" s="1" t="s">
        <v>92</v>
      </c>
      <c r="C3" s="31">
        <v>30881.48</v>
      </c>
      <c r="D3" s="31">
        <v>26096.82</v>
      </c>
      <c r="E3" s="31">
        <v>29732.12</v>
      </c>
      <c r="F3" s="31">
        <v>34254.370000000003</v>
      </c>
      <c r="G3" s="31">
        <v>25844.2</v>
      </c>
      <c r="H3" s="31">
        <v>15540.15</v>
      </c>
      <c r="I3" s="31">
        <v>19799.490000000002</v>
      </c>
      <c r="J3" s="31">
        <v>27279.58</v>
      </c>
      <c r="K3" s="31">
        <v>30343.16</v>
      </c>
      <c r="L3" s="31">
        <v>36880.06</v>
      </c>
      <c r="M3" s="31">
        <v>33316.65</v>
      </c>
      <c r="N3" s="31">
        <v>30167.95</v>
      </c>
      <c r="O3" s="5">
        <f t="shared" ref="O3:O66" si="0">SUM(C3:N3)</f>
        <v>340136.03000000009</v>
      </c>
      <c r="P3" s="1">
        <f t="shared" ref="P3:P66" si="1">+COUNT(C3:N3)</f>
        <v>12</v>
      </c>
      <c r="Q3" s="5">
        <f t="shared" ref="Q3:Q66" si="2">+O3/P3</f>
        <v>28344.669166666674</v>
      </c>
    </row>
    <row r="4" spans="1:17">
      <c r="A4" s="42">
        <v>70002</v>
      </c>
      <c r="B4" s="11" t="s">
        <v>6</v>
      </c>
      <c r="C4" s="5">
        <v>2962.81</v>
      </c>
      <c r="D4" s="5">
        <v>2428.91</v>
      </c>
      <c r="E4" s="5">
        <v>2423.7800000000002</v>
      </c>
      <c r="F4" s="5">
        <v>3063.23</v>
      </c>
      <c r="G4" s="5">
        <v>2229.6</v>
      </c>
      <c r="H4" s="36">
        <v>2423.41</v>
      </c>
      <c r="I4" s="5">
        <v>2002.05</v>
      </c>
      <c r="J4" s="5">
        <v>2200.63</v>
      </c>
      <c r="K4" s="5">
        <v>2152.81</v>
      </c>
      <c r="L4" s="5">
        <v>2260.36</v>
      </c>
      <c r="M4" s="5">
        <v>2216.5300000000002</v>
      </c>
      <c r="N4" s="5">
        <v>2347.4699999999998</v>
      </c>
      <c r="O4" s="5">
        <f t="shared" si="0"/>
        <v>28711.590000000004</v>
      </c>
      <c r="P4" s="1">
        <f t="shared" si="1"/>
        <v>12</v>
      </c>
      <c r="Q4" s="5">
        <f t="shared" si="2"/>
        <v>2392.6325000000002</v>
      </c>
    </row>
    <row r="5" spans="1:17">
      <c r="A5" s="42">
        <v>70003</v>
      </c>
      <c r="B5" s="11" t="s">
        <v>7</v>
      </c>
      <c r="C5" s="5">
        <v>1394.81</v>
      </c>
      <c r="D5" s="5">
        <v>1307.04</v>
      </c>
      <c r="E5" s="5">
        <v>1241.42</v>
      </c>
      <c r="F5" s="5">
        <v>1274.1500000000001</v>
      </c>
      <c r="G5" s="5">
        <v>1034.99</v>
      </c>
      <c r="H5" s="36">
        <v>1000.94</v>
      </c>
      <c r="I5" s="5">
        <v>1094.73</v>
      </c>
      <c r="J5" s="5">
        <v>1120.71</v>
      </c>
      <c r="K5" s="5">
        <v>1088.1199999999999</v>
      </c>
      <c r="L5" s="5">
        <v>1123.98</v>
      </c>
      <c r="M5" s="5">
        <v>1169.3499999999999</v>
      </c>
      <c r="N5" s="5">
        <v>1058.94</v>
      </c>
      <c r="O5" s="5">
        <f t="shared" si="0"/>
        <v>13909.18</v>
      </c>
      <c r="P5" s="1">
        <f t="shared" si="1"/>
        <v>12</v>
      </c>
      <c r="Q5" s="5">
        <f t="shared" si="2"/>
        <v>1159.0983333333334</v>
      </c>
    </row>
    <row r="6" spans="1:17">
      <c r="A6" s="4">
        <v>70006</v>
      </c>
      <c r="B6" s="1" t="s">
        <v>9</v>
      </c>
      <c r="C6" s="5">
        <v>3349.32</v>
      </c>
      <c r="D6" s="5">
        <v>2775.96</v>
      </c>
      <c r="E6" s="31">
        <v>2768.73</v>
      </c>
      <c r="F6" s="5">
        <v>3314.79</v>
      </c>
      <c r="G6" s="5">
        <v>2199.6</v>
      </c>
      <c r="H6" s="5">
        <v>1947.06</v>
      </c>
      <c r="I6" s="5">
        <v>1761.12</v>
      </c>
      <c r="J6" s="5">
        <v>1898.92</v>
      </c>
      <c r="K6" s="5">
        <v>2905.64</v>
      </c>
      <c r="L6" s="5">
        <v>3632.8</v>
      </c>
      <c r="M6" s="5">
        <v>3051.32</v>
      </c>
      <c r="N6" s="5">
        <v>2980.13</v>
      </c>
      <c r="O6" s="5">
        <f t="shared" si="0"/>
        <v>32585.39</v>
      </c>
      <c r="P6" s="1">
        <f t="shared" si="1"/>
        <v>12</v>
      </c>
      <c r="Q6" s="5">
        <f t="shared" si="2"/>
        <v>2715.4491666666668</v>
      </c>
    </row>
    <row r="7" spans="1:17">
      <c r="A7" s="4">
        <v>70007</v>
      </c>
      <c r="B7" s="1" t="s">
        <v>10</v>
      </c>
      <c r="C7" s="5">
        <v>285</v>
      </c>
      <c r="D7" s="5">
        <v>282</v>
      </c>
      <c r="E7" s="5">
        <v>289.2</v>
      </c>
      <c r="F7" s="5">
        <v>283.5</v>
      </c>
      <c r="G7" s="5">
        <v>243</v>
      </c>
      <c r="H7" s="5">
        <v>213</v>
      </c>
      <c r="I7" s="5">
        <v>207</v>
      </c>
      <c r="J7" s="5">
        <v>211.5</v>
      </c>
      <c r="K7" s="5">
        <v>225</v>
      </c>
      <c r="L7" s="5">
        <v>243</v>
      </c>
      <c r="M7" s="5">
        <v>264</v>
      </c>
      <c r="N7" s="5">
        <v>277.5</v>
      </c>
      <c r="O7" s="5">
        <f t="shared" si="0"/>
        <v>3023.7</v>
      </c>
      <c r="P7" s="1">
        <f t="shared" si="1"/>
        <v>12</v>
      </c>
      <c r="Q7" s="5">
        <f t="shared" si="2"/>
        <v>251.97499999999999</v>
      </c>
    </row>
    <row r="8" spans="1:17">
      <c r="A8" s="4">
        <v>70008</v>
      </c>
      <c r="B8" s="1" t="s">
        <v>11</v>
      </c>
      <c r="C8" s="5">
        <v>3216.72</v>
      </c>
      <c r="D8" s="5">
        <v>2564.08</v>
      </c>
      <c r="E8" s="31">
        <v>2192.7600000000002</v>
      </c>
      <c r="F8" s="5">
        <v>2686.98</v>
      </c>
      <c r="G8" s="5">
        <v>1936.68</v>
      </c>
      <c r="H8" s="5">
        <v>1628.82</v>
      </c>
      <c r="I8" s="5">
        <v>1393.26</v>
      </c>
      <c r="J8" s="5">
        <v>1362.06</v>
      </c>
      <c r="K8" s="5">
        <v>2320.62</v>
      </c>
      <c r="L8" s="5">
        <v>2773.13</v>
      </c>
      <c r="M8" s="5">
        <v>2117.58</v>
      </c>
      <c r="N8" s="5">
        <v>2333.23</v>
      </c>
      <c r="O8" s="5">
        <f t="shared" si="0"/>
        <v>26525.920000000002</v>
      </c>
      <c r="P8" s="1">
        <f t="shared" si="1"/>
        <v>12</v>
      </c>
      <c r="Q8" s="5">
        <f t="shared" si="2"/>
        <v>2210.4933333333333</v>
      </c>
    </row>
    <row r="9" spans="1:17">
      <c r="A9" s="4" t="s">
        <v>12</v>
      </c>
      <c r="B9" s="1" t="s">
        <v>13</v>
      </c>
      <c r="C9" s="5">
        <v>3859.27</v>
      </c>
      <c r="D9" s="5">
        <v>3166.04</v>
      </c>
      <c r="E9" s="31">
        <v>4327.57</v>
      </c>
      <c r="F9" s="5">
        <v>5917.24</v>
      </c>
      <c r="G9" s="5">
        <v>4602.79</v>
      </c>
      <c r="H9" s="5">
        <v>3246.51</v>
      </c>
      <c r="I9" s="5">
        <v>2679.64</v>
      </c>
      <c r="J9" s="5">
        <v>1074.18</v>
      </c>
      <c r="K9" s="5">
        <v>1491.3</v>
      </c>
      <c r="L9" s="5">
        <v>2261.1</v>
      </c>
      <c r="M9" s="5">
        <v>1285.42</v>
      </c>
      <c r="N9" s="5">
        <v>1249.2</v>
      </c>
      <c r="O9" s="5">
        <f t="shared" si="0"/>
        <v>35160.259999999995</v>
      </c>
      <c r="P9" s="1">
        <f t="shared" si="1"/>
        <v>12</v>
      </c>
      <c r="Q9" s="5">
        <f t="shared" si="2"/>
        <v>2930.0216666666661</v>
      </c>
    </row>
    <row r="10" spans="1:17">
      <c r="A10" s="42">
        <v>70014</v>
      </c>
      <c r="B10" s="11" t="s">
        <v>14</v>
      </c>
      <c r="C10" s="5">
        <v>16053.05</v>
      </c>
      <c r="D10" s="5">
        <v>16961.59</v>
      </c>
      <c r="E10" s="5">
        <v>14935.91</v>
      </c>
      <c r="F10" s="5">
        <v>18792.62</v>
      </c>
      <c r="G10" s="5">
        <v>14480</v>
      </c>
      <c r="H10" s="5">
        <v>11651.45</v>
      </c>
      <c r="I10" s="5">
        <v>12919.51</v>
      </c>
      <c r="J10" s="5">
        <v>13748.08</v>
      </c>
      <c r="K10" s="5">
        <v>17699.349999999999</v>
      </c>
      <c r="L10" s="36">
        <v>19479.419999999998</v>
      </c>
      <c r="M10" s="43">
        <v>18814.09</v>
      </c>
      <c r="N10" s="10">
        <v>17573.71</v>
      </c>
      <c r="O10" s="5">
        <f t="shared" si="0"/>
        <v>193108.77999999997</v>
      </c>
      <c r="P10" s="1">
        <f t="shared" si="1"/>
        <v>12</v>
      </c>
      <c r="Q10" s="5">
        <f t="shared" si="2"/>
        <v>16092.398333333331</v>
      </c>
    </row>
    <row r="11" spans="1:17">
      <c r="A11" s="4" t="s">
        <v>73</v>
      </c>
      <c r="B11" s="1" t="s">
        <v>63</v>
      </c>
      <c r="C11" s="5">
        <v>10123.92</v>
      </c>
      <c r="D11" s="5">
        <v>8795.48</v>
      </c>
      <c r="E11" s="5">
        <v>7153.17</v>
      </c>
      <c r="F11" s="5">
        <v>8476.58</v>
      </c>
      <c r="G11" s="5">
        <v>6154.3</v>
      </c>
      <c r="H11" s="5">
        <v>3746.48</v>
      </c>
      <c r="I11" s="31">
        <v>3495.73</v>
      </c>
      <c r="J11" s="5">
        <v>4038.56</v>
      </c>
      <c r="K11" s="5">
        <v>8318.43</v>
      </c>
      <c r="L11" s="31">
        <v>8688.23</v>
      </c>
      <c r="M11" s="5">
        <v>7877.54</v>
      </c>
      <c r="N11" s="31">
        <v>7555.84</v>
      </c>
      <c r="O11" s="5">
        <f t="shared" si="0"/>
        <v>84424.26</v>
      </c>
      <c r="P11" s="1">
        <f t="shared" si="1"/>
        <v>12</v>
      </c>
      <c r="Q11" s="5">
        <f t="shared" si="2"/>
        <v>7035.3549999999996</v>
      </c>
    </row>
    <row r="12" spans="1:17">
      <c r="A12" s="4" t="s">
        <v>75</v>
      </c>
      <c r="B12" s="1" t="s">
        <v>74</v>
      </c>
      <c r="C12" s="5">
        <v>14955.76</v>
      </c>
      <c r="D12" s="31">
        <v>15226.4</v>
      </c>
      <c r="E12" s="31">
        <v>15896.54</v>
      </c>
      <c r="F12" s="31">
        <v>14986.77</v>
      </c>
      <c r="G12" s="5">
        <v>10079.48</v>
      </c>
      <c r="H12" s="5">
        <v>6088.81</v>
      </c>
      <c r="I12" s="7">
        <v>6366.55</v>
      </c>
      <c r="J12" s="5">
        <v>6262.75</v>
      </c>
      <c r="K12" s="5">
        <v>13186.91</v>
      </c>
      <c r="L12" s="31">
        <v>16272.71</v>
      </c>
      <c r="M12" s="5">
        <v>19871.55</v>
      </c>
      <c r="N12" s="5">
        <v>18776.93</v>
      </c>
      <c r="O12" s="5">
        <f t="shared" si="0"/>
        <v>157971.15999999997</v>
      </c>
      <c r="P12" s="1">
        <f t="shared" si="1"/>
        <v>12</v>
      </c>
      <c r="Q12" s="5">
        <f t="shared" si="2"/>
        <v>13164.263333333331</v>
      </c>
    </row>
    <row r="13" spans="1:17">
      <c r="A13" s="4">
        <v>70017</v>
      </c>
      <c r="B13" s="1" t="s">
        <v>15</v>
      </c>
      <c r="C13" s="5">
        <v>27879.43</v>
      </c>
      <c r="D13" s="5">
        <v>26474.880000000001</v>
      </c>
      <c r="E13" s="31">
        <v>30086.639999999999</v>
      </c>
      <c r="F13" s="31">
        <v>32380.85</v>
      </c>
      <c r="G13" s="5">
        <v>28088.77</v>
      </c>
      <c r="H13" s="5">
        <v>17856.32</v>
      </c>
      <c r="I13" s="5">
        <v>13447.64</v>
      </c>
      <c r="J13" s="5">
        <v>13993.73</v>
      </c>
      <c r="K13" s="5">
        <v>21884.97</v>
      </c>
      <c r="L13" s="5">
        <v>30178.33</v>
      </c>
      <c r="M13" s="5">
        <v>31257.25</v>
      </c>
      <c r="N13" s="5">
        <v>27511.58</v>
      </c>
      <c r="O13" s="5">
        <f t="shared" si="0"/>
        <v>301040.39</v>
      </c>
      <c r="P13" s="1">
        <f t="shared" si="1"/>
        <v>12</v>
      </c>
      <c r="Q13" s="5">
        <f t="shared" si="2"/>
        <v>25086.699166666669</v>
      </c>
    </row>
    <row r="14" spans="1:17">
      <c r="A14" s="4">
        <v>70018</v>
      </c>
      <c r="B14" s="1" t="s">
        <v>16</v>
      </c>
      <c r="C14" s="31">
        <v>30364.68</v>
      </c>
      <c r="D14" s="5">
        <v>30884.18</v>
      </c>
      <c r="E14" s="31">
        <v>25805.66</v>
      </c>
      <c r="F14" s="31">
        <v>29358.6</v>
      </c>
      <c r="G14" s="5">
        <v>17553.5</v>
      </c>
      <c r="H14" s="5">
        <v>13976.44</v>
      </c>
      <c r="I14" s="5">
        <v>14493.91</v>
      </c>
      <c r="J14" s="5">
        <v>20220.61</v>
      </c>
      <c r="K14" s="5">
        <v>24662.87</v>
      </c>
      <c r="L14" s="5">
        <v>34720.699999999997</v>
      </c>
      <c r="M14" s="5">
        <v>30910.78</v>
      </c>
      <c r="N14" s="5">
        <v>27439.48</v>
      </c>
      <c r="O14" s="5">
        <f t="shared" si="0"/>
        <v>300391.41000000003</v>
      </c>
      <c r="P14" s="1">
        <f t="shared" si="1"/>
        <v>12</v>
      </c>
      <c r="Q14" s="5">
        <f t="shared" si="2"/>
        <v>25032.617500000004</v>
      </c>
    </row>
    <row r="15" spans="1:17">
      <c r="A15" s="4">
        <v>70019</v>
      </c>
      <c r="B15" s="1" t="s">
        <v>17</v>
      </c>
      <c r="C15" s="5">
        <v>14750.16</v>
      </c>
      <c r="D15" s="5">
        <v>8662.17</v>
      </c>
      <c r="E15" s="31">
        <v>8196.15</v>
      </c>
      <c r="F15" s="36">
        <v>10037.549999999999</v>
      </c>
      <c r="G15" s="5">
        <v>7464.03</v>
      </c>
      <c r="H15" s="31">
        <v>5691.91</v>
      </c>
      <c r="I15" s="5">
        <v>5213.49</v>
      </c>
      <c r="J15" s="5">
        <v>6505.28</v>
      </c>
      <c r="K15" s="5">
        <v>9681.01</v>
      </c>
      <c r="L15" s="5">
        <v>13415</v>
      </c>
      <c r="M15" s="5">
        <v>12833.89</v>
      </c>
      <c r="N15" s="5">
        <v>10297.049999999999</v>
      </c>
      <c r="O15" s="5">
        <f t="shared" si="0"/>
        <v>112747.69</v>
      </c>
      <c r="P15" s="1">
        <f t="shared" si="1"/>
        <v>12</v>
      </c>
      <c r="Q15" s="5">
        <f t="shared" si="2"/>
        <v>9395.6408333333329</v>
      </c>
    </row>
    <row r="16" spans="1:17">
      <c r="A16" s="4">
        <v>70020</v>
      </c>
      <c r="B16" s="1" t="s">
        <v>18</v>
      </c>
      <c r="C16" s="5">
        <v>9735.43</v>
      </c>
      <c r="D16" s="5">
        <v>8176.16</v>
      </c>
      <c r="E16" s="31">
        <v>9358.36</v>
      </c>
      <c r="F16" s="36">
        <v>8284.5300000000007</v>
      </c>
      <c r="G16" s="5">
        <v>6536.32</v>
      </c>
      <c r="H16" s="5">
        <v>5956.26</v>
      </c>
      <c r="I16" s="5">
        <v>4883.05</v>
      </c>
      <c r="J16" s="5">
        <v>5691.21</v>
      </c>
      <c r="K16" s="35">
        <v>8150.96</v>
      </c>
      <c r="L16" s="5">
        <v>8501.73</v>
      </c>
      <c r="M16" s="5">
        <v>7407.71</v>
      </c>
      <c r="N16" s="5">
        <v>9344.2099999999991</v>
      </c>
      <c r="O16" s="5">
        <f t="shared" si="0"/>
        <v>92025.930000000022</v>
      </c>
      <c r="P16" s="1">
        <f t="shared" si="1"/>
        <v>12</v>
      </c>
      <c r="Q16" s="5">
        <f t="shared" si="2"/>
        <v>7668.8275000000021</v>
      </c>
    </row>
    <row r="17" spans="1:17">
      <c r="A17" s="4">
        <v>70021</v>
      </c>
      <c r="B17" s="1" t="s">
        <v>60</v>
      </c>
      <c r="C17" s="5">
        <v>47412.69</v>
      </c>
      <c r="D17" s="5">
        <v>36851.22</v>
      </c>
      <c r="E17" s="31">
        <v>41022.660000000003</v>
      </c>
      <c r="F17" s="5">
        <v>52964.46</v>
      </c>
      <c r="G17" s="5">
        <v>30920.78</v>
      </c>
      <c r="H17" s="5">
        <v>32405.72</v>
      </c>
      <c r="I17" s="5">
        <v>28810.23</v>
      </c>
      <c r="J17" s="5">
        <v>38386.699999999997</v>
      </c>
      <c r="K17" s="5">
        <v>50994.94</v>
      </c>
      <c r="L17" s="5">
        <v>45791.45</v>
      </c>
      <c r="M17" s="5">
        <v>47271.51</v>
      </c>
      <c r="N17" s="5">
        <v>40878.160000000003</v>
      </c>
      <c r="O17" s="5">
        <f t="shared" si="0"/>
        <v>493710.52</v>
      </c>
      <c r="P17" s="1">
        <f t="shared" si="1"/>
        <v>12</v>
      </c>
      <c r="Q17" s="5">
        <f t="shared" si="2"/>
        <v>41142.543333333335</v>
      </c>
    </row>
    <row r="18" spans="1:17">
      <c r="A18" s="4">
        <v>70022</v>
      </c>
      <c r="B18" s="1" t="s">
        <v>19</v>
      </c>
      <c r="C18" s="5">
        <v>1678.12</v>
      </c>
      <c r="D18" s="31">
        <v>1355.25</v>
      </c>
      <c r="E18" s="31">
        <v>1697.94</v>
      </c>
      <c r="F18" s="5">
        <v>2142.31</v>
      </c>
      <c r="G18" s="5">
        <v>1212.95</v>
      </c>
      <c r="H18" s="5">
        <v>884.27</v>
      </c>
      <c r="I18" s="5">
        <v>794.15</v>
      </c>
      <c r="J18" s="5">
        <v>535.44000000000005</v>
      </c>
      <c r="K18" s="5">
        <v>1164.0899999999999</v>
      </c>
      <c r="L18" s="5">
        <v>2332.96</v>
      </c>
      <c r="M18" s="5">
        <v>1690.42</v>
      </c>
      <c r="N18" s="5">
        <v>1295.76</v>
      </c>
      <c r="O18" s="5">
        <f t="shared" si="0"/>
        <v>16783.66</v>
      </c>
      <c r="P18" s="1">
        <f t="shared" si="1"/>
        <v>12</v>
      </c>
      <c r="Q18" s="5">
        <f t="shared" si="2"/>
        <v>1398.6383333333333</v>
      </c>
    </row>
    <row r="19" spans="1:17">
      <c r="A19" s="42">
        <v>70023</v>
      </c>
      <c r="B19" s="11" t="s">
        <v>20</v>
      </c>
      <c r="C19" s="5">
        <v>1569.61</v>
      </c>
      <c r="D19" s="5">
        <v>651.17999999999995</v>
      </c>
      <c r="E19" s="31">
        <v>1055.6400000000001</v>
      </c>
      <c r="F19" s="5">
        <v>1430.58</v>
      </c>
      <c r="G19" s="5">
        <v>1178.58</v>
      </c>
      <c r="O19" s="5">
        <f t="shared" si="0"/>
        <v>5885.59</v>
      </c>
      <c r="P19" s="1">
        <f t="shared" si="1"/>
        <v>5</v>
      </c>
      <c r="Q19" s="5">
        <f t="shared" si="2"/>
        <v>1177.1179999999999</v>
      </c>
    </row>
    <row r="20" spans="1:17">
      <c r="A20" s="4" t="s">
        <v>66</v>
      </c>
      <c r="B20" s="1" t="s">
        <v>21</v>
      </c>
      <c r="C20" s="5">
        <v>5111.34</v>
      </c>
      <c r="D20" s="31">
        <v>4851.0600000000004</v>
      </c>
      <c r="E20" s="5">
        <v>4713.12</v>
      </c>
      <c r="F20" s="5">
        <v>4784.04</v>
      </c>
      <c r="G20" s="5">
        <v>3211</v>
      </c>
      <c r="H20" s="31">
        <v>1947</v>
      </c>
      <c r="I20" s="35">
        <v>2180.64</v>
      </c>
      <c r="J20" s="35">
        <v>1762</v>
      </c>
      <c r="K20" s="31">
        <v>3078</v>
      </c>
      <c r="L20" s="5">
        <v>4029.72</v>
      </c>
      <c r="M20" s="5">
        <v>4897</v>
      </c>
      <c r="N20" s="5">
        <v>4302.18</v>
      </c>
      <c r="O20" s="5">
        <f t="shared" si="0"/>
        <v>44867.1</v>
      </c>
      <c r="P20" s="1">
        <f t="shared" si="1"/>
        <v>12</v>
      </c>
      <c r="Q20" s="5">
        <f t="shared" si="2"/>
        <v>3738.9249999999997</v>
      </c>
    </row>
    <row r="21" spans="1:17">
      <c r="A21" s="4">
        <v>70026</v>
      </c>
      <c r="B21" s="1" t="s">
        <v>22</v>
      </c>
      <c r="C21" s="5">
        <v>13094.42</v>
      </c>
      <c r="D21" s="31">
        <v>11690</v>
      </c>
      <c r="E21" s="31">
        <v>11939.4</v>
      </c>
      <c r="F21" s="31"/>
      <c r="G21" s="5">
        <v>7594.47</v>
      </c>
      <c r="H21" s="5">
        <v>3498.81</v>
      </c>
      <c r="I21" s="5">
        <v>4310.8599999999997</v>
      </c>
      <c r="J21" s="5">
        <v>4286.83</v>
      </c>
      <c r="K21" s="31">
        <v>7170.07</v>
      </c>
      <c r="L21" s="5">
        <v>9181.91</v>
      </c>
      <c r="M21" s="5">
        <v>11503.68</v>
      </c>
      <c r="N21" s="5">
        <v>12060.3</v>
      </c>
      <c r="O21" s="5">
        <f t="shared" si="0"/>
        <v>96330.750000000015</v>
      </c>
      <c r="P21" s="1">
        <f t="shared" si="1"/>
        <v>11</v>
      </c>
      <c r="Q21" s="5">
        <f t="shared" si="2"/>
        <v>8757.3409090909099</v>
      </c>
    </row>
    <row r="22" spans="1:17">
      <c r="A22" s="4">
        <v>70027</v>
      </c>
      <c r="B22" s="1" t="s">
        <v>23</v>
      </c>
      <c r="C22" s="5">
        <v>400.14</v>
      </c>
      <c r="D22" s="5">
        <v>300.47000000000003</v>
      </c>
      <c r="E22" s="31">
        <v>315.86</v>
      </c>
      <c r="F22" s="5">
        <v>284.45</v>
      </c>
      <c r="G22" s="5">
        <v>368.14</v>
      </c>
      <c r="H22" s="5">
        <v>269.13</v>
      </c>
      <c r="I22" s="5">
        <v>264.8</v>
      </c>
      <c r="J22" s="5">
        <v>278.82</v>
      </c>
      <c r="K22" s="5">
        <v>278.82</v>
      </c>
      <c r="L22" s="5">
        <v>275.04000000000002</v>
      </c>
      <c r="M22" s="5">
        <v>358.51</v>
      </c>
      <c r="N22" s="5">
        <v>289.12</v>
      </c>
      <c r="O22" s="5">
        <f t="shared" si="0"/>
        <v>3683.3</v>
      </c>
      <c r="P22" s="1">
        <f t="shared" si="1"/>
        <v>12</v>
      </c>
      <c r="Q22" s="5">
        <f t="shared" si="2"/>
        <v>306.94166666666666</v>
      </c>
    </row>
    <row r="23" spans="1:17">
      <c r="A23" s="42" t="s">
        <v>78</v>
      </c>
      <c r="B23" s="11" t="s">
        <v>77</v>
      </c>
      <c r="C23" s="5">
        <v>2545.5</v>
      </c>
      <c r="D23" s="5">
        <v>2375.64</v>
      </c>
      <c r="E23" s="31">
        <v>1798.62</v>
      </c>
      <c r="F23" s="5">
        <v>2321.02</v>
      </c>
      <c r="G23" s="5">
        <v>2321.02</v>
      </c>
      <c r="H23" s="36">
        <v>1546.18</v>
      </c>
      <c r="I23" s="37">
        <v>1391.18</v>
      </c>
      <c r="J23" s="37">
        <v>1277.1500000000001</v>
      </c>
      <c r="K23" s="37">
        <v>1575.59</v>
      </c>
      <c r="L23" s="36">
        <v>1758.69</v>
      </c>
      <c r="M23" s="36">
        <v>1370.65</v>
      </c>
      <c r="O23" s="5">
        <f t="shared" si="0"/>
        <v>20281.239999999998</v>
      </c>
      <c r="P23" s="1">
        <f t="shared" si="1"/>
        <v>11</v>
      </c>
      <c r="Q23" s="5">
        <f t="shared" si="2"/>
        <v>1843.7490909090907</v>
      </c>
    </row>
    <row r="24" spans="1:17">
      <c r="A24" s="4" t="s">
        <v>68</v>
      </c>
      <c r="B24" s="1" t="s">
        <v>24</v>
      </c>
      <c r="C24" s="31">
        <v>2997.75</v>
      </c>
      <c r="D24" s="5">
        <v>2647.83</v>
      </c>
      <c r="E24" s="5">
        <v>2507.8000000000002</v>
      </c>
      <c r="F24" s="5">
        <v>3224.6</v>
      </c>
      <c r="G24" s="31">
        <v>2529.62</v>
      </c>
      <c r="H24" s="31">
        <v>2081.65</v>
      </c>
      <c r="I24" s="5">
        <v>2090.12</v>
      </c>
      <c r="J24" s="5">
        <v>2087.0500000000002</v>
      </c>
      <c r="K24" s="5">
        <v>2963.45</v>
      </c>
      <c r="L24" s="5">
        <v>2980.49</v>
      </c>
      <c r="M24" s="5">
        <v>2543.11</v>
      </c>
      <c r="N24" s="5">
        <v>2383.0500000000002</v>
      </c>
      <c r="O24" s="5">
        <f t="shared" si="0"/>
        <v>31036.52</v>
      </c>
      <c r="P24" s="1">
        <f t="shared" si="1"/>
        <v>12</v>
      </c>
      <c r="Q24" s="5">
        <f t="shared" si="2"/>
        <v>2586.3766666666666</v>
      </c>
    </row>
    <row r="25" spans="1:17">
      <c r="A25" s="4">
        <v>70030</v>
      </c>
      <c r="B25" s="1" t="s">
        <v>110</v>
      </c>
      <c r="C25" s="31">
        <v>58602.1</v>
      </c>
      <c r="D25" s="5">
        <v>67635.72</v>
      </c>
      <c r="E25" s="5">
        <v>131730.6</v>
      </c>
      <c r="F25" s="5">
        <v>69321.31</v>
      </c>
      <c r="G25" s="5">
        <v>55495.24</v>
      </c>
      <c r="H25" s="5">
        <v>24116.11</v>
      </c>
      <c r="I25" s="5">
        <v>33252.22</v>
      </c>
      <c r="J25" s="38">
        <v>36400.83</v>
      </c>
      <c r="K25" s="5">
        <v>52468.23</v>
      </c>
      <c r="L25" s="5">
        <v>66826.98</v>
      </c>
      <c r="M25" s="5">
        <v>93685.73</v>
      </c>
      <c r="N25" s="5">
        <v>64208.93</v>
      </c>
      <c r="O25" s="5">
        <f t="shared" si="0"/>
        <v>753744</v>
      </c>
      <c r="P25" s="1">
        <f t="shared" si="1"/>
        <v>12</v>
      </c>
      <c r="Q25" s="5">
        <f t="shared" si="2"/>
        <v>62812</v>
      </c>
    </row>
    <row r="26" spans="1:17">
      <c r="A26" s="4" t="s">
        <v>26</v>
      </c>
      <c r="B26" s="1" t="s">
        <v>25</v>
      </c>
      <c r="C26" s="5">
        <v>1468.71</v>
      </c>
      <c r="D26" s="5">
        <v>1289.46</v>
      </c>
      <c r="E26" s="5">
        <v>1243.29</v>
      </c>
      <c r="F26" s="5">
        <v>1373.4</v>
      </c>
      <c r="G26" s="5">
        <v>1319.55</v>
      </c>
      <c r="H26" s="5">
        <v>1251.77</v>
      </c>
      <c r="I26" s="5">
        <v>1024.3699999999999</v>
      </c>
      <c r="J26" s="5">
        <v>1027.9100000000001</v>
      </c>
      <c r="K26" s="5">
        <v>1328.6</v>
      </c>
      <c r="L26" s="5">
        <v>1541.51</v>
      </c>
      <c r="M26" s="39">
        <v>1579.5</v>
      </c>
      <c r="N26" s="5">
        <v>1211.8699999999999</v>
      </c>
      <c r="O26" s="5">
        <f t="shared" si="0"/>
        <v>15659.939999999999</v>
      </c>
      <c r="P26" s="1">
        <f t="shared" si="1"/>
        <v>12</v>
      </c>
      <c r="Q26" s="5">
        <f t="shared" si="2"/>
        <v>1304.9949999999999</v>
      </c>
    </row>
    <row r="27" spans="1:17">
      <c r="A27" s="42" t="s">
        <v>103</v>
      </c>
      <c r="B27" s="11" t="s">
        <v>11</v>
      </c>
      <c r="C27" s="5">
        <v>3233.04</v>
      </c>
      <c r="D27" s="5">
        <v>2107</v>
      </c>
      <c r="E27" s="5">
        <v>2592</v>
      </c>
      <c r="F27" s="5">
        <v>3077.7</v>
      </c>
      <c r="G27" s="5">
        <v>2040</v>
      </c>
      <c r="H27" s="5">
        <v>1629.54</v>
      </c>
      <c r="I27" s="5">
        <v>390</v>
      </c>
      <c r="O27" s="5">
        <f t="shared" si="0"/>
        <v>15069.279999999999</v>
      </c>
      <c r="P27" s="1">
        <f t="shared" si="1"/>
        <v>7</v>
      </c>
      <c r="Q27" s="5">
        <f t="shared" si="2"/>
        <v>2152.7542857142857</v>
      </c>
    </row>
    <row r="28" spans="1:17">
      <c r="A28" s="4">
        <v>70035</v>
      </c>
      <c r="B28" s="1" t="s">
        <v>28</v>
      </c>
      <c r="C28" s="5">
        <v>42599.519999999997</v>
      </c>
      <c r="D28" s="5">
        <v>32277.75</v>
      </c>
      <c r="E28" s="31">
        <v>39452.99</v>
      </c>
      <c r="F28" s="31">
        <v>53490.35</v>
      </c>
      <c r="G28" s="5">
        <v>28065.5</v>
      </c>
      <c r="H28" s="5">
        <v>27597.86</v>
      </c>
      <c r="I28" s="5">
        <v>28584.51</v>
      </c>
      <c r="J28" s="5">
        <v>36868.18</v>
      </c>
      <c r="K28" s="5">
        <v>48423.05</v>
      </c>
      <c r="L28" s="5">
        <v>47499.3</v>
      </c>
      <c r="M28" s="5">
        <v>52455.76</v>
      </c>
      <c r="N28" s="5">
        <v>40196.550000000003</v>
      </c>
      <c r="O28" s="5">
        <f t="shared" si="0"/>
        <v>477511.31999999995</v>
      </c>
      <c r="P28" s="1">
        <f t="shared" si="1"/>
        <v>12</v>
      </c>
      <c r="Q28" s="5">
        <f t="shared" si="2"/>
        <v>39792.609999999993</v>
      </c>
    </row>
    <row r="29" spans="1:17">
      <c r="A29" s="4">
        <v>70037</v>
      </c>
      <c r="B29" s="1" t="s">
        <v>29</v>
      </c>
      <c r="C29" s="5">
        <v>6799.5</v>
      </c>
      <c r="D29" s="31">
        <v>5679.79</v>
      </c>
      <c r="E29" s="31">
        <v>6914.79</v>
      </c>
      <c r="F29" s="5">
        <v>7168.84</v>
      </c>
      <c r="G29" s="5">
        <v>4700.6899999999996</v>
      </c>
      <c r="H29" s="5">
        <v>3790.96</v>
      </c>
      <c r="I29" s="5">
        <v>3801.98</v>
      </c>
      <c r="J29" s="5">
        <v>3774</v>
      </c>
      <c r="K29" s="5">
        <v>5677.05</v>
      </c>
      <c r="L29" s="5">
        <v>6661.18</v>
      </c>
      <c r="M29" s="5">
        <v>6819.8</v>
      </c>
      <c r="N29" s="5">
        <v>6698.08</v>
      </c>
      <c r="O29" s="5">
        <f t="shared" si="0"/>
        <v>68486.66</v>
      </c>
      <c r="P29" s="1">
        <f t="shared" si="1"/>
        <v>12</v>
      </c>
      <c r="Q29" s="5">
        <f t="shared" si="2"/>
        <v>5707.2216666666673</v>
      </c>
    </row>
    <row r="30" spans="1:17">
      <c r="A30" s="4">
        <v>70038</v>
      </c>
      <c r="B30" s="1" t="s">
        <v>30</v>
      </c>
      <c r="C30" s="5">
        <v>8361.7999999999993</v>
      </c>
      <c r="D30" s="31">
        <v>7151.33</v>
      </c>
      <c r="E30" s="31">
        <v>8662.98</v>
      </c>
      <c r="F30" s="5">
        <v>8586.23</v>
      </c>
      <c r="G30" s="5">
        <v>7700.96</v>
      </c>
      <c r="H30" s="5">
        <v>6129.92</v>
      </c>
      <c r="I30" s="5">
        <v>6533.04</v>
      </c>
      <c r="J30" s="5">
        <v>6214.92</v>
      </c>
      <c r="K30" s="5">
        <v>8522.84</v>
      </c>
      <c r="L30" s="5">
        <v>9209.18</v>
      </c>
      <c r="M30" s="5">
        <v>8402.91</v>
      </c>
      <c r="N30" s="5">
        <v>8499.41</v>
      </c>
      <c r="O30" s="5">
        <f t="shared" si="0"/>
        <v>93975.520000000019</v>
      </c>
      <c r="P30" s="1">
        <f t="shared" si="1"/>
        <v>12</v>
      </c>
      <c r="Q30" s="5">
        <f t="shared" si="2"/>
        <v>7831.2933333333349</v>
      </c>
    </row>
    <row r="31" spans="1:17">
      <c r="A31" s="4" t="s">
        <v>71</v>
      </c>
      <c r="B31" s="1" t="s">
        <v>31</v>
      </c>
      <c r="C31" s="5">
        <v>9613</v>
      </c>
      <c r="D31" s="5">
        <v>7575</v>
      </c>
      <c r="E31" s="31">
        <v>7382</v>
      </c>
      <c r="F31" s="31">
        <v>8496</v>
      </c>
      <c r="G31" s="5">
        <v>5561</v>
      </c>
      <c r="H31" s="5">
        <v>4814</v>
      </c>
      <c r="I31" s="5">
        <v>3940</v>
      </c>
      <c r="J31" s="5">
        <v>4410</v>
      </c>
      <c r="K31" s="5">
        <v>7642</v>
      </c>
      <c r="L31" s="5">
        <v>8068</v>
      </c>
      <c r="M31" s="5">
        <v>7508</v>
      </c>
      <c r="N31" s="5">
        <v>8428</v>
      </c>
      <c r="O31" s="5">
        <f t="shared" si="0"/>
        <v>83437</v>
      </c>
      <c r="P31" s="1">
        <f t="shared" si="1"/>
        <v>12</v>
      </c>
      <c r="Q31" s="5">
        <f t="shared" si="2"/>
        <v>6953.083333333333</v>
      </c>
    </row>
    <row r="32" spans="1:17">
      <c r="A32" s="4" t="s">
        <v>86</v>
      </c>
      <c r="B32" s="1" t="s">
        <v>32</v>
      </c>
      <c r="C32" s="5">
        <v>14827.59</v>
      </c>
      <c r="D32" s="5">
        <v>14970.93</v>
      </c>
      <c r="E32" s="40">
        <v>14270.1</v>
      </c>
      <c r="F32" s="36">
        <v>14561.59</v>
      </c>
      <c r="G32" s="5">
        <v>12536.28</v>
      </c>
      <c r="H32" s="5">
        <v>9554.2900000000009</v>
      </c>
      <c r="I32" s="5">
        <v>10488</v>
      </c>
      <c r="J32" s="5">
        <v>11075.49</v>
      </c>
      <c r="K32" s="5">
        <v>13017.9</v>
      </c>
      <c r="L32" s="5">
        <v>15179.17</v>
      </c>
      <c r="M32" s="5">
        <v>15179.17</v>
      </c>
      <c r="N32" s="5">
        <v>13001.33</v>
      </c>
      <c r="O32" s="5">
        <f t="shared" si="0"/>
        <v>158661.84</v>
      </c>
      <c r="P32" s="1">
        <f t="shared" si="1"/>
        <v>12</v>
      </c>
      <c r="Q32" s="5">
        <f t="shared" si="2"/>
        <v>13221.82</v>
      </c>
    </row>
    <row r="33" spans="1:17">
      <c r="A33" s="4">
        <v>70044</v>
      </c>
      <c r="B33" s="1" t="s">
        <v>34</v>
      </c>
      <c r="C33" s="5">
        <v>9985.2800000000007</v>
      </c>
      <c r="D33" s="5">
        <v>7147.64</v>
      </c>
      <c r="E33" s="31">
        <v>7634.98</v>
      </c>
      <c r="F33" s="5">
        <v>9483.7199999999993</v>
      </c>
      <c r="G33" s="5">
        <v>7214.45</v>
      </c>
      <c r="H33" s="5">
        <v>5430.51</v>
      </c>
      <c r="I33" s="5">
        <v>4912.51</v>
      </c>
      <c r="J33" s="5">
        <v>5924.13</v>
      </c>
      <c r="K33" s="5">
        <v>8532.64</v>
      </c>
      <c r="L33" s="5">
        <v>10465.629999999999</v>
      </c>
      <c r="M33" s="5">
        <v>9361.7900000000009</v>
      </c>
      <c r="N33" s="5">
        <v>9293.5</v>
      </c>
      <c r="O33" s="5">
        <f t="shared" si="0"/>
        <v>95386.78</v>
      </c>
      <c r="P33" s="1">
        <f t="shared" si="1"/>
        <v>12</v>
      </c>
      <c r="Q33" s="5">
        <f t="shared" si="2"/>
        <v>7948.8983333333335</v>
      </c>
    </row>
    <row r="34" spans="1:17">
      <c r="A34" s="4">
        <v>70046</v>
      </c>
      <c r="B34" s="1" t="s">
        <v>35</v>
      </c>
      <c r="C34" s="5">
        <v>1083.72</v>
      </c>
      <c r="D34" s="5">
        <v>1078.44</v>
      </c>
      <c r="E34" s="5">
        <v>1086.06</v>
      </c>
      <c r="F34" s="5">
        <v>1117.2</v>
      </c>
      <c r="G34" s="5">
        <v>819.12</v>
      </c>
      <c r="H34" s="5">
        <v>806.88</v>
      </c>
      <c r="I34" s="5">
        <v>676.32</v>
      </c>
      <c r="J34" s="5">
        <v>734.64</v>
      </c>
      <c r="K34" s="35">
        <v>1100.94</v>
      </c>
      <c r="L34" s="5">
        <v>829.14</v>
      </c>
      <c r="M34" s="5">
        <v>827.52</v>
      </c>
      <c r="N34" s="5">
        <v>903.35</v>
      </c>
      <c r="O34" s="5">
        <f t="shared" si="0"/>
        <v>11063.33</v>
      </c>
      <c r="P34" s="1">
        <f t="shared" si="1"/>
        <v>12</v>
      </c>
      <c r="Q34" s="5">
        <f t="shared" si="2"/>
        <v>921.94416666666666</v>
      </c>
    </row>
    <row r="35" spans="1:17">
      <c r="A35" s="4">
        <v>70048</v>
      </c>
      <c r="B35" s="1" t="s">
        <v>36</v>
      </c>
      <c r="C35" s="5">
        <v>3522.47</v>
      </c>
      <c r="D35" s="5">
        <v>3363.6</v>
      </c>
      <c r="E35" s="31">
        <v>3505.11</v>
      </c>
      <c r="F35" s="5">
        <v>3004.02</v>
      </c>
      <c r="G35" s="5">
        <v>3286.83</v>
      </c>
      <c r="H35" s="5">
        <v>2056.73</v>
      </c>
      <c r="I35" s="5">
        <v>2056.04</v>
      </c>
      <c r="J35" s="5">
        <v>1837.44</v>
      </c>
      <c r="K35" s="5">
        <v>2390.29</v>
      </c>
      <c r="L35" s="5">
        <v>3666.94</v>
      </c>
      <c r="M35" s="5">
        <v>3129.18</v>
      </c>
      <c r="N35" s="5">
        <v>2997.15</v>
      </c>
      <c r="O35" s="5">
        <f t="shared" si="0"/>
        <v>34815.799999999996</v>
      </c>
      <c r="P35" s="1">
        <f t="shared" si="1"/>
        <v>12</v>
      </c>
      <c r="Q35" s="5">
        <f t="shared" si="2"/>
        <v>2901.3166666666662</v>
      </c>
    </row>
    <row r="36" spans="1:17">
      <c r="A36" s="4">
        <v>70049</v>
      </c>
      <c r="B36" s="1" t="s">
        <v>37</v>
      </c>
      <c r="C36" s="5">
        <v>413.99</v>
      </c>
      <c r="D36" s="31">
        <v>354.93</v>
      </c>
      <c r="E36" s="5">
        <v>3763.34</v>
      </c>
      <c r="F36" s="31">
        <v>364.82</v>
      </c>
      <c r="G36" s="5">
        <v>252.16</v>
      </c>
      <c r="H36" s="5">
        <v>382.5</v>
      </c>
      <c r="I36" s="5">
        <v>296.52</v>
      </c>
      <c r="J36" s="5">
        <v>251.79</v>
      </c>
      <c r="K36" s="5">
        <v>248.3</v>
      </c>
      <c r="L36" s="5">
        <v>230.3</v>
      </c>
      <c r="M36" s="5">
        <v>241.88</v>
      </c>
      <c r="N36" s="31">
        <v>330.27</v>
      </c>
      <c r="O36" s="5">
        <f t="shared" si="0"/>
        <v>7130.8000000000011</v>
      </c>
      <c r="P36" s="1">
        <f t="shared" si="1"/>
        <v>12</v>
      </c>
      <c r="Q36" s="5">
        <f t="shared" si="2"/>
        <v>594.23333333333346</v>
      </c>
    </row>
    <row r="37" spans="1:17">
      <c r="A37" s="4" t="s">
        <v>79</v>
      </c>
      <c r="B37" s="1" t="s">
        <v>80</v>
      </c>
      <c r="C37" s="5">
        <v>9854</v>
      </c>
      <c r="D37" s="5">
        <v>6499</v>
      </c>
      <c r="E37" s="31">
        <v>6156</v>
      </c>
      <c r="F37" s="31">
        <v>7384</v>
      </c>
      <c r="G37" s="5">
        <v>5430</v>
      </c>
      <c r="H37" s="5">
        <v>4932</v>
      </c>
      <c r="I37" s="5">
        <v>4517</v>
      </c>
      <c r="J37" s="5">
        <v>5544</v>
      </c>
      <c r="K37" s="5">
        <v>8341</v>
      </c>
      <c r="L37" s="5">
        <v>8894</v>
      </c>
      <c r="M37" s="5">
        <v>7736</v>
      </c>
      <c r="N37" s="5">
        <v>8643</v>
      </c>
      <c r="O37" s="5">
        <f t="shared" si="0"/>
        <v>83930</v>
      </c>
      <c r="P37" s="1">
        <f t="shared" si="1"/>
        <v>12</v>
      </c>
      <c r="Q37" s="5">
        <f t="shared" si="2"/>
        <v>6994.166666666667</v>
      </c>
    </row>
    <row r="38" spans="1:17">
      <c r="A38" s="4" t="s">
        <v>99</v>
      </c>
      <c r="B38" s="1" t="s">
        <v>101</v>
      </c>
      <c r="C38" s="5">
        <v>5777</v>
      </c>
      <c r="D38" s="5">
        <v>5053.22</v>
      </c>
      <c r="E38" s="5">
        <v>5014.78</v>
      </c>
      <c r="F38" s="31">
        <v>5417.84</v>
      </c>
      <c r="G38" s="5">
        <v>3900.82</v>
      </c>
      <c r="H38" s="5">
        <v>3534.24</v>
      </c>
      <c r="I38" s="5">
        <v>3013.14</v>
      </c>
      <c r="J38" s="5">
        <v>3403.44</v>
      </c>
      <c r="K38" s="5">
        <v>4884.71</v>
      </c>
      <c r="L38" s="5">
        <v>5568.82</v>
      </c>
      <c r="M38" s="5">
        <v>4755.95</v>
      </c>
      <c r="N38" s="5">
        <v>4827.2700000000004</v>
      </c>
      <c r="O38" s="5">
        <f t="shared" si="0"/>
        <v>55151.229999999996</v>
      </c>
      <c r="P38" s="1">
        <f t="shared" si="1"/>
        <v>12</v>
      </c>
      <c r="Q38" s="5">
        <f t="shared" si="2"/>
        <v>4595.935833333333</v>
      </c>
    </row>
    <row r="39" spans="1:17">
      <c r="A39" s="4">
        <v>70052</v>
      </c>
      <c r="B39" s="1" t="s">
        <v>38</v>
      </c>
      <c r="C39" s="5">
        <v>4601.88</v>
      </c>
      <c r="D39" s="5">
        <v>4446.43</v>
      </c>
      <c r="E39" s="31">
        <v>4606.46</v>
      </c>
      <c r="F39" s="5">
        <v>4671</v>
      </c>
      <c r="G39" s="5">
        <v>4375.78</v>
      </c>
      <c r="H39" s="5">
        <v>3642.05</v>
      </c>
      <c r="I39" s="5">
        <v>3192.2</v>
      </c>
      <c r="J39" s="5">
        <v>3808.05</v>
      </c>
      <c r="K39" s="5">
        <v>4796.0200000000004</v>
      </c>
      <c r="L39" s="5">
        <v>5009.8100000000004</v>
      </c>
      <c r="M39" s="5">
        <v>5032.8</v>
      </c>
      <c r="N39" s="5">
        <v>4841.49</v>
      </c>
      <c r="O39" s="5">
        <f t="shared" si="0"/>
        <v>53023.969999999994</v>
      </c>
      <c r="P39" s="1">
        <f t="shared" si="1"/>
        <v>12</v>
      </c>
      <c r="Q39" s="5">
        <f t="shared" si="2"/>
        <v>4418.6641666666665</v>
      </c>
    </row>
    <row r="40" spans="1:17">
      <c r="A40" s="4">
        <v>70053</v>
      </c>
      <c r="B40" s="1" t="s">
        <v>39</v>
      </c>
      <c r="C40" s="5">
        <v>14281.19</v>
      </c>
      <c r="D40" s="31">
        <v>12540</v>
      </c>
      <c r="E40" s="31">
        <v>19208.71</v>
      </c>
      <c r="F40" s="5">
        <v>18610.349999999999</v>
      </c>
      <c r="G40" s="5">
        <v>13183.89</v>
      </c>
      <c r="H40" s="5">
        <v>6941.81</v>
      </c>
      <c r="I40" s="5">
        <v>9525.35</v>
      </c>
      <c r="J40" s="5">
        <v>11753.07</v>
      </c>
      <c r="K40" s="5">
        <v>14876.56</v>
      </c>
      <c r="L40" s="5">
        <v>18049.98</v>
      </c>
      <c r="M40" s="5">
        <v>23860.35</v>
      </c>
      <c r="N40" s="5">
        <v>14782.36</v>
      </c>
      <c r="O40" s="5">
        <f t="shared" si="0"/>
        <v>177613.62</v>
      </c>
      <c r="P40" s="1">
        <f t="shared" si="1"/>
        <v>12</v>
      </c>
      <c r="Q40" s="5">
        <f t="shared" si="2"/>
        <v>14801.135</v>
      </c>
    </row>
    <row r="41" spans="1:17">
      <c r="A41" s="4">
        <v>70054</v>
      </c>
      <c r="B41" s="1" t="s">
        <v>40</v>
      </c>
      <c r="C41" s="5">
        <v>11431.08</v>
      </c>
      <c r="D41" s="5">
        <v>5978.88</v>
      </c>
      <c r="E41" s="31">
        <v>11726.93</v>
      </c>
      <c r="F41" s="5">
        <v>11592.11</v>
      </c>
      <c r="G41" s="5">
        <v>7344.62</v>
      </c>
      <c r="H41" s="32">
        <v>4152.25</v>
      </c>
      <c r="I41" s="5">
        <v>3697.74</v>
      </c>
      <c r="J41" s="5">
        <v>4159.99</v>
      </c>
      <c r="K41" s="5">
        <v>6925.06</v>
      </c>
      <c r="L41" s="5">
        <v>10226</v>
      </c>
      <c r="M41" s="5">
        <v>6409.87</v>
      </c>
      <c r="N41" s="5">
        <v>9294.7800000000007</v>
      </c>
      <c r="O41" s="5">
        <f t="shared" si="0"/>
        <v>92939.31</v>
      </c>
      <c r="P41" s="1">
        <f t="shared" si="1"/>
        <v>12</v>
      </c>
      <c r="Q41" s="5">
        <f t="shared" si="2"/>
        <v>7744.9425000000001</v>
      </c>
    </row>
    <row r="42" spans="1:17">
      <c r="A42" s="4">
        <v>70055</v>
      </c>
      <c r="B42" s="1" t="s">
        <v>41</v>
      </c>
      <c r="C42" s="31">
        <v>6849.21</v>
      </c>
      <c r="D42" s="31">
        <v>5876.41</v>
      </c>
      <c r="E42" s="31">
        <v>6055.44</v>
      </c>
      <c r="F42" s="5">
        <v>6449.3940000000002</v>
      </c>
      <c r="G42" s="5">
        <v>5541.26</v>
      </c>
      <c r="H42" s="5">
        <v>4863.4799999999996</v>
      </c>
      <c r="I42" s="5">
        <v>4571.3500000000004</v>
      </c>
      <c r="J42" s="5">
        <v>4408.38</v>
      </c>
      <c r="K42" s="5">
        <v>5985.61</v>
      </c>
      <c r="L42" s="5">
        <v>6270.47</v>
      </c>
      <c r="M42" s="5">
        <v>6382.68</v>
      </c>
      <c r="N42" s="5">
        <v>6635.57</v>
      </c>
      <c r="O42" s="5">
        <f t="shared" si="0"/>
        <v>69889.254000000001</v>
      </c>
      <c r="P42" s="1">
        <f t="shared" si="1"/>
        <v>12</v>
      </c>
      <c r="Q42" s="5">
        <f t="shared" si="2"/>
        <v>5824.1045000000004</v>
      </c>
    </row>
    <row r="43" spans="1:17">
      <c r="A43" s="4">
        <v>70062</v>
      </c>
      <c r="B43" s="1" t="s">
        <v>42</v>
      </c>
      <c r="C43" s="5">
        <v>7980.28</v>
      </c>
      <c r="D43" s="5">
        <v>8181.32</v>
      </c>
      <c r="E43" s="31">
        <v>8437.2000000000007</v>
      </c>
      <c r="F43" s="5">
        <v>9201.2099999999991</v>
      </c>
      <c r="G43" s="5">
        <v>7474.14</v>
      </c>
      <c r="H43" s="5">
        <v>4980.97</v>
      </c>
      <c r="I43" s="5">
        <v>6710.43</v>
      </c>
      <c r="J43" s="5">
        <v>7201.55</v>
      </c>
      <c r="K43" s="5">
        <v>8944.4699999999993</v>
      </c>
      <c r="L43" s="5">
        <v>9778.0300000000007</v>
      </c>
      <c r="M43" s="5">
        <v>9089.25</v>
      </c>
      <c r="N43" s="5">
        <v>8708.0300000000007</v>
      </c>
      <c r="O43" s="5">
        <f t="shared" si="0"/>
        <v>96686.87999999999</v>
      </c>
      <c r="P43" s="1">
        <f t="shared" si="1"/>
        <v>12</v>
      </c>
      <c r="Q43" s="5">
        <f t="shared" si="2"/>
        <v>8057.2399999999989</v>
      </c>
    </row>
    <row r="44" spans="1:17">
      <c r="A44" s="4">
        <v>70063</v>
      </c>
      <c r="B44" s="1" t="s">
        <v>43</v>
      </c>
      <c r="C44" s="5">
        <v>10040.030000000001</v>
      </c>
      <c r="D44" s="5">
        <v>9651.48</v>
      </c>
      <c r="E44" s="5">
        <v>10074.41</v>
      </c>
      <c r="F44" s="5">
        <v>12269.38</v>
      </c>
      <c r="G44" s="5">
        <v>8752.57</v>
      </c>
      <c r="H44" s="5">
        <v>6218.8</v>
      </c>
      <c r="I44" s="5">
        <v>7265.59</v>
      </c>
      <c r="J44" s="5">
        <v>7121.72</v>
      </c>
      <c r="K44" s="5">
        <v>9565.59</v>
      </c>
      <c r="L44" s="5">
        <v>12361.29</v>
      </c>
      <c r="M44" s="5">
        <v>10903.38</v>
      </c>
      <c r="N44" s="5">
        <v>10379.879999999999</v>
      </c>
      <c r="O44" s="5">
        <f t="shared" si="0"/>
        <v>114604.12000000002</v>
      </c>
      <c r="P44" s="1">
        <f t="shared" si="1"/>
        <v>12</v>
      </c>
      <c r="Q44" s="5">
        <f t="shared" si="2"/>
        <v>9550.343333333336</v>
      </c>
    </row>
    <row r="45" spans="1:17">
      <c r="A45" s="42">
        <v>70065</v>
      </c>
      <c r="B45" s="11" t="s">
        <v>44</v>
      </c>
      <c r="C45" s="41"/>
      <c r="D45" s="41"/>
      <c r="O45" s="5">
        <f t="shared" si="0"/>
        <v>0</v>
      </c>
      <c r="P45" s="1">
        <f t="shared" si="1"/>
        <v>0</v>
      </c>
      <c r="Q45" s="5"/>
    </row>
    <row r="46" spans="1:17">
      <c r="A46" s="4">
        <v>70067</v>
      </c>
      <c r="B46" s="1" t="s">
        <v>46</v>
      </c>
      <c r="C46" s="5">
        <v>4295.04</v>
      </c>
      <c r="D46" s="5">
        <v>3360.18</v>
      </c>
      <c r="E46" s="31">
        <v>3015</v>
      </c>
      <c r="F46" s="5">
        <v>4244.5200000000004</v>
      </c>
      <c r="G46" s="5">
        <v>2572.5500000000002</v>
      </c>
      <c r="H46" s="5">
        <v>2106.7800000000002</v>
      </c>
      <c r="I46" s="5">
        <v>2163.12</v>
      </c>
      <c r="J46" s="5">
        <v>2117.88</v>
      </c>
      <c r="K46" s="5">
        <v>3486.12</v>
      </c>
      <c r="L46" s="5">
        <v>4224.72</v>
      </c>
      <c r="M46" s="5">
        <v>2889.96</v>
      </c>
      <c r="N46" s="5">
        <v>2883</v>
      </c>
      <c r="O46" s="5">
        <f t="shared" si="0"/>
        <v>37358.870000000003</v>
      </c>
      <c r="P46" s="1">
        <f t="shared" si="1"/>
        <v>12</v>
      </c>
      <c r="Q46" s="5">
        <f t="shared" si="2"/>
        <v>3113.2391666666667</v>
      </c>
    </row>
    <row r="47" spans="1:17">
      <c r="A47" s="4">
        <v>70068</v>
      </c>
      <c r="B47" s="1" t="s">
        <v>47</v>
      </c>
      <c r="C47" s="31">
        <v>273.45</v>
      </c>
      <c r="D47" s="31">
        <v>163.02000000000001</v>
      </c>
      <c r="E47" s="31">
        <v>110.88</v>
      </c>
      <c r="F47" s="31">
        <v>276.3</v>
      </c>
      <c r="G47" s="5">
        <v>312.72000000000003</v>
      </c>
      <c r="H47" s="5"/>
      <c r="I47" s="5">
        <v>19.079999999999998</v>
      </c>
      <c r="J47" s="5">
        <v>75.84</v>
      </c>
      <c r="K47" s="5">
        <v>135.54</v>
      </c>
      <c r="L47" s="5">
        <v>860.1</v>
      </c>
      <c r="M47" s="5">
        <v>533.4</v>
      </c>
      <c r="N47" s="5">
        <v>143.1</v>
      </c>
      <c r="O47" s="5">
        <f t="shared" si="0"/>
        <v>2903.43</v>
      </c>
      <c r="P47" s="1">
        <f t="shared" si="1"/>
        <v>11</v>
      </c>
      <c r="Q47" s="5">
        <f t="shared" si="2"/>
        <v>263.94818181818181</v>
      </c>
    </row>
    <row r="48" spans="1:17">
      <c r="A48" s="4" t="s">
        <v>72</v>
      </c>
      <c r="B48" s="1" t="s">
        <v>48</v>
      </c>
      <c r="C48" s="31">
        <v>7750</v>
      </c>
      <c r="D48" s="31">
        <v>6698</v>
      </c>
      <c r="E48" s="31">
        <v>6392</v>
      </c>
      <c r="F48" s="31">
        <v>7393</v>
      </c>
      <c r="G48" s="5">
        <v>5612</v>
      </c>
      <c r="H48" s="5">
        <v>4560</v>
      </c>
      <c r="I48" s="5">
        <v>4494</v>
      </c>
      <c r="J48" s="5">
        <v>4758</v>
      </c>
      <c r="K48" s="31">
        <v>7075</v>
      </c>
      <c r="L48" s="5">
        <v>7550</v>
      </c>
      <c r="M48" s="5">
        <v>7298</v>
      </c>
      <c r="N48" s="5">
        <v>7134</v>
      </c>
      <c r="O48" s="5">
        <f t="shared" si="0"/>
        <v>76714</v>
      </c>
      <c r="P48" s="1">
        <f t="shared" si="1"/>
        <v>12</v>
      </c>
      <c r="Q48" s="5">
        <f t="shared" si="2"/>
        <v>6392.833333333333</v>
      </c>
    </row>
    <row r="49" spans="1:17">
      <c r="A49" s="4" t="s">
        <v>65</v>
      </c>
      <c r="B49" s="1" t="s">
        <v>107</v>
      </c>
      <c r="C49" s="5">
        <v>20633.939999999999</v>
      </c>
      <c r="D49" s="5">
        <v>17572.14</v>
      </c>
      <c r="E49" s="5">
        <v>17779.5</v>
      </c>
      <c r="F49" s="31">
        <v>22155.599999999999</v>
      </c>
      <c r="G49" s="5">
        <v>17896.8</v>
      </c>
      <c r="H49" s="5">
        <v>14632.49</v>
      </c>
      <c r="I49" s="5">
        <v>15381.78</v>
      </c>
      <c r="J49" s="5">
        <v>16153.68</v>
      </c>
      <c r="K49" s="5">
        <v>18415.5</v>
      </c>
      <c r="L49" s="5">
        <v>20626.2</v>
      </c>
      <c r="M49" s="5">
        <v>21248.58</v>
      </c>
      <c r="N49" s="5">
        <v>11197.68</v>
      </c>
      <c r="O49" s="5">
        <f t="shared" si="0"/>
        <v>213693.89</v>
      </c>
      <c r="P49" s="1">
        <f t="shared" si="1"/>
        <v>12</v>
      </c>
      <c r="Q49" s="5">
        <f t="shared" si="2"/>
        <v>17807.824166666669</v>
      </c>
    </row>
    <row r="50" spans="1:17">
      <c r="A50" s="4">
        <v>70071</v>
      </c>
      <c r="B50" s="1" t="s">
        <v>49</v>
      </c>
      <c r="C50" s="5">
        <v>361.56</v>
      </c>
      <c r="D50" s="5">
        <v>304.08</v>
      </c>
      <c r="E50" s="5">
        <v>500.58</v>
      </c>
      <c r="F50" s="5">
        <v>881.06</v>
      </c>
      <c r="G50" s="5">
        <v>399.84</v>
      </c>
      <c r="H50" s="31">
        <v>93.78</v>
      </c>
      <c r="I50" s="5">
        <v>69</v>
      </c>
      <c r="J50" s="5">
        <v>207.66</v>
      </c>
      <c r="K50" s="5">
        <v>242.82</v>
      </c>
      <c r="L50" s="5">
        <v>770.14</v>
      </c>
      <c r="M50" s="5">
        <v>540.72</v>
      </c>
      <c r="N50" s="5">
        <v>580.14</v>
      </c>
      <c r="O50" s="5">
        <f t="shared" si="0"/>
        <v>4951.38</v>
      </c>
      <c r="P50" s="1">
        <f t="shared" si="1"/>
        <v>12</v>
      </c>
      <c r="Q50" s="5">
        <f t="shared" si="2"/>
        <v>412.61500000000001</v>
      </c>
    </row>
    <row r="51" spans="1:17">
      <c r="A51" s="4">
        <v>70072</v>
      </c>
      <c r="B51" s="1" t="s">
        <v>50</v>
      </c>
      <c r="C51" s="5">
        <v>7945.17</v>
      </c>
      <c r="D51" s="5">
        <v>6079.16</v>
      </c>
      <c r="E51" s="31">
        <v>6788.71</v>
      </c>
      <c r="F51" s="5">
        <v>8131.52</v>
      </c>
      <c r="G51" s="5">
        <v>6619.9</v>
      </c>
      <c r="H51" s="5">
        <v>3975.17</v>
      </c>
      <c r="I51" s="5">
        <v>4459.04</v>
      </c>
      <c r="J51" s="5">
        <v>4534.8500000000004</v>
      </c>
      <c r="K51" s="5">
        <v>6733.48</v>
      </c>
      <c r="L51" s="5">
        <v>7376.87</v>
      </c>
      <c r="M51" s="5">
        <v>7317.82</v>
      </c>
      <c r="N51" s="5">
        <v>6962.11</v>
      </c>
      <c r="O51" s="5">
        <f t="shared" si="0"/>
        <v>76923.8</v>
      </c>
      <c r="P51" s="1">
        <f t="shared" si="1"/>
        <v>12</v>
      </c>
      <c r="Q51" s="5">
        <f t="shared" si="2"/>
        <v>6410.3166666666666</v>
      </c>
    </row>
    <row r="52" spans="1:17">
      <c r="A52" s="4">
        <v>70075</v>
      </c>
      <c r="B52" s="1" t="s">
        <v>53</v>
      </c>
      <c r="C52" s="5">
        <v>7345.29</v>
      </c>
      <c r="D52" s="5">
        <v>6352.25</v>
      </c>
      <c r="E52" s="5">
        <v>6581.22</v>
      </c>
      <c r="F52" s="5">
        <v>7482.84</v>
      </c>
      <c r="G52" s="5">
        <v>5989.15</v>
      </c>
      <c r="H52" s="5">
        <v>5106.6499999999996</v>
      </c>
      <c r="I52" s="5">
        <v>4251.72</v>
      </c>
      <c r="J52" s="5">
        <v>5163.33</v>
      </c>
      <c r="K52" s="5">
        <v>6781.18</v>
      </c>
      <c r="L52" s="5">
        <v>7686.09</v>
      </c>
      <c r="M52" s="5">
        <v>7023.15</v>
      </c>
      <c r="N52" s="5">
        <v>7040.93</v>
      </c>
      <c r="O52" s="5">
        <f t="shared" si="0"/>
        <v>76803.799999999988</v>
      </c>
      <c r="P52" s="1">
        <f t="shared" si="1"/>
        <v>12</v>
      </c>
      <c r="Q52" s="5">
        <f t="shared" si="2"/>
        <v>6400.3166666666657</v>
      </c>
    </row>
    <row r="53" spans="1:17">
      <c r="A53" s="4">
        <v>70076</v>
      </c>
      <c r="B53" s="1" t="s">
        <v>54</v>
      </c>
      <c r="C53" s="5">
        <v>9956</v>
      </c>
      <c r="D53" s="5">
        <v>8813.06</v>
      </c>
      <c r="E53" s="5">
        <v>9957.9500000000007</v>
      </c>
      <c r="F53" s="5">
        <v>10844.6</v>
      </c>
      <c r="G53" s="5">
        <v>8386.81</v>
      </c>
      <c r="H53" s="5">
        <v>6242.86</v>
      </c>
      <c r="I53" s="5">
        <v>6961.21</v>
      </c>
      <c r="J53" s="5">
        <v>7823.96</v>
      </c>
      <c r="K53" s="5">
        <v>9744.2999999999993</v>
      </c>
      <c r="L53" s="5">
        <v>11456.29</v>
      </c>
      <c r="M53" s="5">
        <v>10470.99</v>
      </c>
      <c r="N53" s="5">
        <v>9758.5400000000009</v>
      </c>
      <c r="O53" s="5">
        <f t="shared" si="0"/>
        <v>110416.57</v>
      </c>
      <c r="P53" s="1">
        <f t="shared" si="1"/>
        <v>12</v>
      </c>
      <c r="Q53" s="5">
        <f t="shared" si="2"/>
        <v>9201.3808333333345</v>
      </c>
    </row>
    <row r="54" spans="1:17">
      <c r="A54" s="42" t="s">
        <v>106</v>
      </c>
      <c r="B54" s="11" t="s">
        <v>98</v>
      </c>
      <c r="C54" s="5">
        <v>6285.37</v>
      </c>
      <c r="D54" s="5">
        <v>7865.08</v>
      </c>
      <c r="E54" s="5">
        <v>6982.33</v>
      </c>
      <c r="F54" s="5">
        <v>8822.5499999999993</v>
      </c>
      <c r="G54" s="5">
        <v>7461.19</v>
      </c>
      <c r="H54" s="36">
        <v>5432.53</v>
      </c>
      <c r="I54" s="5">
        <v>6733.48</v>
      </c>
      <c r="J54" s="5">
        <v>6480.15</v>
      </c>
      <c r="K54" s="5">
        <v>8508.16</v>
      </c>
      <c r="L54" s="5">
        <v>7931.28</v>
      </c>
      <c r="M54" s="5">
        <v>6755.73</v>
      </c>
      <c r="N54" s="5">
        <v>6987.84</v>
      </c>
      <c r="O54" s="5">
        <f t="shared" si="0"/>
        <v>86245.689999999988</v>
      </c>
      <c r="P54" s="1">
        <f t="shared" si="1"/>
        <v>12</v>
      </c>
      <c r="Q54" s="5">
        <f t="shared" si="2"/>
        <v>7187.140833333332</v>
      </c>
    </row>
    <row r="55" spans="1:17">
      <c r="A55" s="4">
        <v>70078</v>
      </c>
      <c r="B55" s="1" t="s">
        <v>55</v>
      </c>
      <c r="C55" s="5">
        <v>11965.76</v>
      </c>
      <c r="D55" s="5">
        <v>12047.5</v>
      </c>
      <c r="E55" s="31">
        <v>14903.32</v>
      </c>
      <c r="F55" s="5">
        <v>13173.16</v>
      </c>
      <c r="G55" s="5">
        <v>11355.61</v>
      </c>
      <c r="H55" s="5">
        <v>10952.8</v>
      </c>
      <c r="I55" s="5">
        <v>11095.5</v>
      </c>
      <c r="J55" s="5">
        <v>10854.45</v>
      </c>
      <c r="K55" s="5">
        <v>13719.07</v>
      </c>
      <c r="L55" s="5">
        <v>15359.64</v>
      </c>
      <c r="M55" s="5">
        <v>14775.16</v>
      </c>
      <c r="N55" s="5">
        <v>13658.59</v>
      </c>
      <c r="O55" s="5">
        <f t="shared" si="0"/>
        <v>153860.56</v>
      </c>
      <c r="P55" s="1">
        <f t="shared" si="1"/>
        <v>12</v>
      </c>
      <c r="Q55" s="5">
        <f t="shared" si="2"/>
        <v>12821.713333333333</v>
      </c>
    </row>
    <row r="56" spans="1:17">
      <c r="A56" s="4">
        <v>70079</v>
      </c>
      <c r="B56" s="1" t="s">
        <v>56</v>
      </c>
      <c r="C56" s="5">
        <v>12279.46</v>
      </c>
      <c r="D56" s="5">
        <v>12057.36</v>
      </c>
      <c r="E56" s="31">
        <v>11699.59</v>
      </c>
      <c r="F56" s="31">
        <v>13575.13</v>
      </c>
      <c r="G56" s="5">
        <v>10186.69</v>
      </c>
      <c r="H56" s="5">
        <v>5960.33</v>
      </c>
      <c r="I56" s="5">
        <v>8931.52</v>
      </c>
      <c r="J56" s="5">
        <v>10707.46</v>
      </c>
      <c r="K56" s="5">
        <v>13091.99</v>
      </c>
      <c r="L56" s="5">
        <v>14552.75</v>
      </c>
      <c r="M56" s="5">
        <v>13038.36</v>
      </c>
      <c r="N56" s="5">
        <v>12982.92</v>
      </c>
      <c r="O56" s="5">
        <f t="shared" si="0"/>
        <v>139063.56000000003</v>
      </c>
      <c r="P56" s="1">
        <f t="shared" si="1"/>
        <v>12</v>
      </c>
      <c r="Q56" s="5">
        <f t="shared" si="2"/>
        <v>11588.630000000003</v>
      </c>
    </row>
    <row r="57" spans="1:17">
      <c r="A57" s="42">
        <v>70080</v>
      </c>
      <c r="B57" s="11" t="s">
        <v>57</v>
      </c>
      <c r="C57" s="5">
        <v>3631.99</v>
      </c>
      <c r="D57" s="5">
        <v>3469.5</v>
      </c>
      <c r="E57" s="31">
        <v>2958.35</v>
      </c>
      <c r="F57" s="31">
        <v>4983.49</v>
      </c>
      <c r="G57" s="5">
        <v>2431.64</v>
      </c>
      <c r="H57" s="36">
        <v>3023.81</v>
      </c>
      <c r="I57" s="5">
        <v>1769.85</v>
      </c>
      <c r="J57" s="5">
        <v>2309.13</v>
      </c>
      <c r="K57" s="5">
        <v>2708.89</v>
      </c>
      <c r="L57" s="5">
        <v>3614.75</v>
      </c>
      <c r="M57" s="5">
        <v>3881.31</v>
      </c>
      <c r="N57" s="5">
        <v>3786.58</v>
      </c>
      <c r="O57" s="5">
        <f t="shared" si="0"/>
        <v>38569.29</v>
      </c>
      <c r="P57" s="1">
        <f t="shared" si="1"/>
        <v>12</v>
      </c>
      <c r="Q57" s="5">
        <f t="shared" si="2"/>
        <v>3214.1075000000001</v>
      </c>
    </row>
    <row r="58" spans="1:17">
      <c r="A58" s="42">
        <v>70081</v>
      </c>
      <c r="B58" s="11" t="s">
        <v>58</v>
      </c>
      <c r="C58" s="5">
        <v>32787.19</v>
      </c>
      <c r="D58" s="5">
        <v>34759.800000000003</v>
      </c>
      <c r="E58" s="31">
        <v>46234.33</v>
      </c>
      <c r="F58" s="31">
        <v>47234.15</v>
      </c>
      <c r="G58" s="5">
        <v>33750.68</v>
      </c>
      <c r="H58" s="36">
        <v>24086.21</v>
      </c>
      <c r="I58" s="5">
        <v>22474.43</v>
      </c>
      <c r="J58" s="5">
        <v>30073.74</v>
      </c>
      <c r="K58" s="5">
        <v>39919.83</v>
      </c>
      <c r="L58" s="5">
        <v>44498.02</v>
      </c>
      <c r="M58" s="5">
        <v>43617.75</v>
      </c>
      <c r="N58" s="5">
        <v>41645.919999999998</v>
      </c>
      <c r="O58" s="5">
        <f t="shared" si="0"/>
        <v>441082.05</v>
      </c>
      <c r="P58" s="1">
        <f t="shared" si="1"/>
        <v>12</v>
      </c>
      <c r="Q58" s="5">
        <f t="shared" si="2"/>
        <v>36756.837500000001</v>
      </c>
    </row>
    <row r="59" spans="1:17">
      <c r="A59" s="4">
        <v>70082</v>
      </c>
      <c r="B59" s="1" t="s">
        <v>59</v>
      </c>
      <c r="C59" s="5">
        <v>3759.75</v>
      </c>
      <c r="D59" s="5">
        <v>3301.88</v>
      </c>
      <c r="E59" s="31">
        <v>3000.5</v>
      </c>
      <c r="F59" s="5">
        <v>3655.75</v>
      </c>
      <c r="G59" s="5">
        <v>2724.84</v>
      </c>
      <c r="H59" s="31">
        <v>2217.5300000000002</v>
      </c>
      <c r="I59" s="5">
        <v>2543.1</v>
      </c>
      <c r="J59" s="31">
        <v>2942.03</v>
      </c>
      <c r="K59" s="5">
        <v>3886.47</v>
      </c>
      <c r="L59" s="5">
        <v>4212.71</v>
      </c>
      <c r="M59" s="5">
        <v>3573.81</v>
      </c>
      <c r="N59" s="5">
        <v>3722.55</v>
      </c>
      <c r="O59" s="5">
        <f t="shared" si="0"/>
        <v>39540.92</v>
      </c>
      <c r="P59" s="1">
        <f t="shared" si="1"/>
        <v>12</v>
      </c>
      <c r="Q59" s="5">
        <f t="shared" si="2"/>
        <v>3295.0766666666664</v>
      </c>
    </row>
    <row r="60" spans="1:17">
      <c r="A60" s="4">
        <v>70084</v>
      </c>
      <c r="B60" s="1" t="s">
        <v>64</v>
      </c>
      <c r="C60" s="31">
        <v>4066.79</v>
      </c>
      <c r="D60" s="31">
        <v>3362.58</v>
      </c>
      <c r="E60" s="31">
        <v>3656.52</v>
      </c>
      <c r="F60" s="5">
        <v>4021.18</v>
      </c>
      <c r="G60" s="5">
        <v>3142.36</v>
      </c>
      <c r="H60" s="5">
        <v>1868.69</v>
      </c>
      <c r="I60" s="5">
        <v>1732.04</v>
      </c>
      <c r="J60" s="5">
        <v>2248.2199999999998</v>
      </c>
      <c r="K60" s="5">
        <v>3247.75</v>
      </c>
      <c r="L60" s="5">
        <v>3887.78</v>
      </c>
      <c r="M60" s="5">
        <v>2654.1</v>
      </c>
      <c r="N60" s="5">
        <v>3069.04</v>
      </c>
      <c r="O60" s="5">
        <f t="shared" si="0"/>
        <v>36957.050000000003</v>
      </c>
      <c r="P60" s="1">
        <f t="shared" si="1"/>
        <v>12</v>
      </c>
      <c r="Q60" s="5">
        <f t="shared" si="2"/>
        <v>3079.7541666666671</v>
      </c>
    </row>
    <row r="61" spans="1:17">
      <c r="A61" s="4">
        <v>70086</v>
      </c>
      <c r="B61" s="1" t="s">
        <v>85</v>
      </c>
      <c r="C61" s="5">
        <v>392.32</v>
      </c>
      <c r="D61" s="5">
        <v>257.23</v>
      </c>
      <c r="E61" s="5">
        <v>202.46</v>
      </c>
      <c r="F61" s="5">
        <v>581.55999999999995</v>
      </c>
      <c r="G61" s="5">
        <v>239.94</v>
      </c>
      <c r="H61" s="5">
        <v>121.91</v>
      </c>
      <c r="I61" s="5">
        <v>120.81</v>
      </c>
      <c r="J61" s="5">
        <v>38.11</v>
      </c>
      <c r="K61" s="5">
        <v>304.49</v>
      </c>
      <c r="L61" s="5">
        <v>461.12</v>
      </c>
      <c r="M61" s="5">
        <v>160.72999999999999</v>
      </c>
      <c r="N61" s="5">
        <v>153.1</v>
      </c>
      <c r="O61" s="5">
        <f t="shared" si="0"/>
        <v>3033.7799999999997</v>
      </c>
      <c r="P61" s="1">
        <f t="shared" si="1"/>
        <v>12</v>
      </c>
      <c r="Q61" s="5">
        <f t="shared" si="2"/>
        <v>252.81499999999997</v>
      </c>
    </row>
    <row r="62" spans="1:17">
      <c r="A62" s="4">
        <v>70087</v>
      </c>
      <c r="B62" s="1" t="s">
        <v>109</v>
      </c>
      <c r="C62" s="5">
        <v>3610.9</v>
      </c>
      <c r="D62" s="5">
        <v>802.68</v>
      </c>
      <c r="E62" s="5">
        <v>2835.48</v>
      </c>
      <c r="F62" s="5">
        <v>1792.62</v>
      </c>
      <c r="G62" s="5">
        <v>1694.28</v>
      </c>
      <c r="H62" s="36">
        <v>574.08000000000004</v>
      </c>
      <c r="I62" s="5">
        <v>1204.6199999999999</v>
      </c>
      <c r="J62" s="5">
        <v>378.54</v>
      </c>
      <c r="K62" s="5">
        <v>701.22</v>
      </c>
      <c r="L62" s="5">
        <v>1422.84</v>
      </c>
      <c r="M62" s="5">
        <v>1588.44</v>
      </c>
      <c r="N62" s="5">
        <v>998.64</v>
      </c>
      <c r="O62" s="5">
        <f t="shared" si="0"/>
        <v>17604.34</v>
      </c>
      <c r="P62" s="1">
        <f t="shared" si="1"/>
        <v>12</v>
      </c>
      <c r="Q62" s="5">
        <f t="shared" si="2"/>
        <v>1467.0283333333334</v>
      </c>
    </row>
    <row r="63" spans="1:17">
      <c r="A63" s="4">
        <v>70088</v>
      </c>
      <c r="B63" s="1" t="s">
        <v>88</v>
      </c>
      <c r="C63" s="5">
        <v>592.66</v>
      </c>
      <c r="D63" s="5">
        <v>375.21</v>
      </c>
      <c r="E63" s="31">
        <v>549.02</v>
      </c>
      <c r="F63" s="5">
        <v>1015.25</v>
      </c>
      <c r="G63" s="5">
        <v>649.71</v>
      </c>
      <c r="H63" s="5">
        <v>468.12</v>
      </c>
      <c r="I63" s="5">
        <v>74.55</v>
      </c>
      <c r="J63" s="5">
        <v>248.55</v>
      </c>
      <c r="K63" s="5">
        <v>461.5</v>
      </c>
      <c r="L63" s="5">
        <v>1071.98</v>
      </c>
      <c r="M63" s="5">
        <v>659.45</v>
      </c>
      <c r="N63" s="5">
        <v>591.36</v>
      </c>
      <c r="O63" s="5">
        <f t="shared" si="0"/>
        <v>6757.3599999999988</v>
      </c>
      <c r="P63" s="1">
        <f t="shared" si="1"/>
        <v>12</v>
      </c>
      <c r="Q63" s="5">
        <f t="shared" si="2"/>
        <v>563.11333333333323</v>
      </c>
    </row>
    <row r="64" spans="1:17">
      <c r="A64" s="4" t="s">
        <v>104</v>
      </c>
      <c r="B64" s="1" t="s">
        <v>89</v>
      </c>
      <c r="C64" s="5">
        <v>5712.78</v>
      </c>
      <c r="D64" s="5">
        <v>3792.18</v>
      </c>
      <c r="E64" s="31">
        <v>4980.03</v>
      </c>
      <c r="F64" s="31">
        <v>4554.8999999999996</v>
      </c>
      <c r="G64" s="31">
        <v>3838.26</v>
      </c>
      <c r="H64" s="31">
        <v>1814.34</v>
      </c>
      <c r="I64" s="5">
        <v>2935.68</v>
      </c>
      <c r="J64" s="5">
        <v>2468.46</v>
      </c>
      <c r="K64" s="5">
        <v>4097.82</v>
      </c>
      <c r="L64" s="5">
        <v>5305.32</v>
      </c>
      <c r="M64" s="5">
        <v>3778.62</v>
      </c>
      <c r="N64" s="5">
        <v>4318.5</v>
      </c>
      <c r="O64" s="5">
        <f t="shared" si="0"/>
        <v>47596.89</v>
      </c>
      <c r="P64" s="1">
        <f t="shared" si="1"/>
        <v>12</v>
      </c>
      <c r="Q64" s="5">
        <f t="shared" si="2"/>
        <v>3966.4074999999998</v>
      </c>
    </row>
    <row r="65" spans="1:17">
      <c r="A65" s="4">
        <v>70090</v>
      </c>
      <c r="B65" s="1" t="s">
        <v>90</v>
      </c>
      <c r="C65" s="5">
        <v>13135.86</v>
      </c>
      <c r="D65" s="5">
        <v>12432</v>
      </c>
      <c r="E65" s="31">
        <v>15644.11</v>
      </c>
      <c r="F65" s="5">
        <v>13781.47</v>
      </c>
      <c r="G65" s="5">
        <v>11237.57</v>
      </c>
      <c r="H65" s="5">
        <v>10218.59</v>
      </c>
      <c r="I65" s="5">
        <v>9157.9</v>
      </c>
      <c r="J65" s="5">
        <v>11739.67</v>
      </c>
      <c r="K65" s="5">
        <v>16889.03</v>
      </c>
      <c r="L65" s="5">
        <v>15828.72</v>
      </c>
      <c r="M65" s="5">
        <v>15069.82</v>
      </c>
      <c r="N65" s="5">
        <v>16535.990000000002</v>
      </c>
      <c r="O65" s="5">
        <f t="shared" si="0"/>
        <v>161670.72999999998</v>
      </c>
      <c r="P65" s="1">
        <f t="shared" si="1"/>
        <v>12</v>
      </c>
      <c r="Q65" s="5">
        <f t="shared" si="2"/>
        <v>13472.560833333331</v>
      </c>
    </row>
    <row r="66" spans="1:17">
      <c r="A66" s="4">
        <v>70091</v>
      </c>
      <c r="B66" s="1" t="s">
        <v>91</v>
      </c>
      <c r="C66" s="5">
        <v>14079.92</v>
      </c>
      <c r="D66" s="5">
        <v>12519.14</v>
      </c>
      <c r="E66" s="31">
        <v>16944.64</v>
      </c>
      <c r="F66" s="5">
        <v>15867.69</v>
      </c>
      <c r="G66" s="5">
        <v>10556.83</v>
      </c>
      <c r="H66" s="5">
        <v>10446.82</v>
      </c>
      <c r="I66" s="5">
        <v>10834.47</v>
      </c>
      <c r="J66" s="5">
        <v>12854.77</v>
      </c>
      <c r="K66" s="5">
        <v>16050.8</v>
      </c>
      <c r="L66" s="5">
        <v>17821.29</v>
      </c>
      <c r="M66" s="5">
        <v>16418.64</v>
      </c>
      <c r="N66" s="5">
        <v>15456.37</v>
      </c>
      <c r="O66" s="5">
        <f t="shared" si="0"/>
        <v>169851.38</v>
      </c>
      <c r="P66" s="1">
        <f t="shared" si="1"/>
        <v>12</v>
      </c>
      <c r="Q66" s="5">
        <f t="shared" si="2"/>
        <v>14154.281666666668</v>
      </c>
    </row>
    <row r="67" spans="1:17">
      <c r="A67" s="4">
        <v>70092</v>
      </c>
      <c r="B67" s="1" t="s">
        <v>93</v>
      </c>
      <c r="C67" s="31">
        <v>11913.62</v>
      </c>
      <c r="D67" s="35">
        <v>11363.16</v>
      </c>
      <c r="E67" s="35">
        <v>11736.97</v>
      </c>
      <c r="F67" s="31">
        <v>14013.45</v>
      </c>
      <c r="G67" s="5">
        <v>10520.69</v>
      </c>
      <c r="H67" s="31">
        <v>8195.94</v>
      </c>
      <c r="I67" s="31">
        <v>10633.44</v>
      </c>
      <c r="J67" s="36">
        <v>11277.58</v>
      </c>
      <c r="K67" s="5">
        <v>11716.22</v>
      </c>
      <c r="L67" s="5">
        <v>14027.44</v>
      </c>
      <c r="M67" s="5">
        <v>12652.34</v>
      </c>
      <c r="N67" s="31">
        <v>13151.55</v>
      </c>
      <c r="O67" s="5">
        <f t="shared" ref="O67:O74" si="3">SUM(C67:N67)</f>
        <v>141202.4</v>
      </c>
      <c r="P67" s="1">
        <f t="shared" ref="P67:P74" si="4">+COUNT(C67:N67)</f>
        <v>12</v>
      </c>
      <c r="Q67" s="5">
        <f t="shared" ref="Q67:Q74" si="5">+O67/P67</f>
        <v>11766.866666666667</v>
      </c>
    </row>
    <row r="68" spans="1:17">
      <c r="A68" s="4">
        <v>70093</v>
      </c>
      <c r="B68" s="1" t="s">
        <v>94</v>
      </c>
      <c r="C68" s="5">
        <v>3033.42</v>
      </c>
      <c r="D68" s="5">
        <v>2335.91</v>
      </c>
      <c r="E68" s="31">
        <v>1634.38</v>
      </c>
      <c r="F68" s="31">
        <v>2109.0300000000002</v>
      </c>
      <c r="G68" s="5">
        <v>1300.57</v>
      </c>
      <c r="H68" s="31">
        <v>902.83</v>
      </c>
      <c r="I68" s="31">
        <v>1640.06</v>
      </c>
      <c r="J68" s="31">
        <v>968.94</v>
      </c>
      <c r="K68" s="5">
        <v>2185.9699999999998</v>
      </c>
      <c r="L68" s="5">
        <v>2819.01</v>
      </c>
      <c r="M68" s="5">
        <v>1736.05</v>
      </c>
      <c r="N68" s="5">
        <v>1298.77</v>
      </c>
      <c r="O68" s="5">
        <f t="shared" si="3"/>
        <v>21964.94</v>
      </c>
      <c r="P68" s="1">
        <f t="shared" si="4"/>
        <v>12</v>
      </c>
      <c r="Q68" s="5">
        <f t="shared" si="5"/>
        <v>1830.4116666666666</v>
      </c>
    </row>
    <row r="69" spans="1:17">
      <c r="A69" s="42">
        <v>70094</v>
      </c>
      <c r="B69" s="11" t="s">
        <v>95</v>
      </c>
      <c r="C69" s="5">
        <v>473.79</v>
      </c>
      <c r="D69" s="5">
        <v>105.12</v>
      </c>
      <c r="E69" s="31">
        <v>679.91</v>
      </c>
      <c r="F69" s="31">
        <v>434.4</v>
      </c>
      <c r="G69" s="5">
        <v>244.56</v>
      </c>
      <c r="H69" s="37">
        <v>309.89999999999998</v>
      </c>
      <c r="I69" s="31">
        <v>504.24</v>
      </c>
      <c r="J69" s="31">
        <v>119.88</v>
      </c>
      <c r="K69" s="5">
        <v>191.58</v>
      </c>
      <c r="L69" s="5">
        <v>878.46</v>
      </c>
      <c r="M69" s="5">
        <v>403.92</v>
      </c>
      <c r="N69" s="5">
        <v>364.74</v>
      </c>
      <c r="O69" s="5">
        <f t="shared" si="3"/>
        <v>4710.5</v>
      </c>
      <c r="P69" s="1">
        <f t="shared" si="4"/>
        <v>12</v>
      </c>
      <c r="Q69" s="5">
        <f t="shared" si="5"/>
        <v>392.54166666666669</v>
      </c>
    </row>
    <row r="70" spans="1:17">
      <c r="A70" s="4">
        <v>70095</v>
      </c>
      <c r="B70" s="1" t="s">
        <v>48</v>
      </c>
      <c r="C70" s="5">
        <v>12200.74</v>
      </c>
      <c r="D70" s="5">
        <v>10831.5</v>
      </c>
      <c r="E70" s="31">
        <v>11973.43</v>
      </c>
      <c r="F70" s="5">
        <v>13134.32</v>
      </c>
      <c r="G70" s="5">
        <v>8928.9699999999993</v>
      </c>
      <c r="H70" s="5">
        <v>7556.88</v>
      </c>
      <c r="I70" s="5">
        <v>9075.4</v>
      </c>
      <c r="J70" s="5">
        <v>9572.4</v>
      </c>
      <c r="K70" s="5">
        <v>12515.59</v>
      </c>
      <c r="L70" s="5">
        <v>13592.11</v>
      </c>
      <c r="M70" s="5">
        <v>12921.25</v>
      </c>
      <c r="N70" s="5">
        <v>12573.29</v>
      </c>
      <c r="O70" s="5">
        <f t="shared" si="3"/>
        <v>134875.87999999998</v>
      </c>
      <c r="P70" s="1">
        <f t="shared" si="4"/>
        <v>12</v>
      </c>
      <c r="Q70" s="5">
        <f t="shared" si="5"/>
        <v>11239.656666666664</v>
      </c>
    </row>
    <row r="71" spans="1:17">
      <c r="A71" s="4">
        <v>70097</v>
      </c>
      <c r="B71" s="1" t="s">
        <v>100</v>
      </c>
      <c r="C71" s="5">
        <v>4491.1000000000004</v>
      </c>
      <c r="D71" s="5">
        <v>4501.6499999999996</v>
      </c>
      <c r="E71" s="5">
        <v>5369.15</v>
      </c>
      <c r="F71" s="5">
        <v>5881.57</v>
      </c>
      <c r="G71" s="5">
        <v>3583.24</v>
      </c>
      <c r="H71" s="5">
        <v>2299.17</v>
      </c>
      <c r="I71" s="5">
        <v>1826.44</v>
      </c>
      <c r="J71" s="5">
        <v>2300.17</v>
      </c>
      <c r="K71" s="5">
        <v>2955.78</v>
      </c>
      <c r="L71" s="5">
        <v>3757.53</v>
      </c>
      <c r="M71" s="5">
        <v>2740.36</v>
      </c>
      <c r="N71" s="5">
        <v>2893.55</v>
      </c>
      <c r="O71" s="5">
        <f t="shared" si="3"/>
        <v>42599.71</v>
      </c>
      <c r="P71" s="1">
        <f t="shared" si="4"/>
        <v>12</v>
      </c>
      <c r="Q71" s="5">
        <f t="shared" si="5"/>
        <v>3549.9758333333334</v>
      </c>
    </row>
    <row r="72" spans="1:17">
      <c r="A72" s="4">
        <v>70098</v>
      </c>
      <c r="B72" s="1" t="s">
        <v>102</v>
      </c>
      <c r="C72" s="5">
        <v>190.67</v>
      </c>
      <c r="D72" s="5">
        <v>138.43</v>
      </c>
      <c r="E72" s="5">
        <v>13.5</v>
      </c>
      <c r="F72" s="5">
        <v>124.2</v>
      </c>
      <c r="G72" s="5"/>
      <c r="H72" s="5"/>
      <c r="I72" s="5"/>
      <c r="J72" s="5"/>
      <c r="K72" s="5">
        <v>94.5</v>
      </c>
      <c r="L72" s="5">
        <v>148.5</v>
      </c>
      <c r="M72" s="5">
        <v>163.33000000000001</v>
      </c>
      <c r="N72" s="5">
        <v>252.48</v>
      </c>
      <c r="O72" s="5">
        <f t="shared" si="3"/>
        <v>1125.6099999999999</v>
      </c>
      <c r="P72" s="1">
        <f t="shared" si="4"/>
        <v>8</v>
      </c>
      <c r="Q72" s="5">
        <f t="shared" si="5"/>
        <v>140.70124999999999</v>
      </c>
    </row>
    <row r="73" spans="1:17">
      <c r="A73" s="4">
        <v>70099</v>
      </c>
      <c r="B73" s="1" t="s">
        <v>105</v>
      </c>
      <c r="C73" s="5"/>
      <c r="D73" s="5">
        <v>1716.93</v>
      </c>
      <c r="E73" s="5">
        <v>6809.55</v>
      </c>
      <c r="F73" s="5">
        <v>10416.89</v>
      </c>
      <c r="G73" s="5">
        <v>7901.56</v>
      </c>
      <c r="H73" s="5">
        <v>6524.35</v>
      </c>
      <c r="I73" s="5">
        <v>7779.74</v>
      </c>
      <c r="J73" s="5">
        <v>9071.1200000000008</v>
      </c>
      <c r="K73" s="5">
        <v>12564.39</v>
      </c>
      <c r="L73" s="5">
        <v>13212.02</v>
      </c>
      <c r="M73" s="5">
        <v>11635.91</v>
      </c>
      <c r="N73" s="5">
        <v>11568.09</v>
      </c>
      <c r="O73" s="5">
        <f t="shared" si="3"/>
        <v>99200.55</v>
      </c>
      <c r="P73" s="1">
        <f t="shared" si="4"/>
        <v>11</v>
      </c>
      <c r="Q73" s="5">
        <f t="shared" si="5"/>
        <v>9018.2318181818191</v>
      </c>
    </row>
    <row r="74" spans="1:17">
      <c r="A74" s="21">
        <v>15005502</v>
      </c>
      <c r="B74" s="22" t="s">
        <v>108</v>
      </c>
      <c r="C74" s="25"/>
      <c r="D74" s="25"/>
      <c r="E74" s="25"/>
      <c r="F74" s="25"/>
      <c r="G74" s="25"/>
      <c r="H74" s="25"/>
      <c r="I74" s="25"/>
      <c r="J74" s="22"/>
      <c r="K74" s="22"/>
      <c r="L74" s="22"/>
      <c r="M74" s="22"/>
      <c r="N74" s="44">
        <f>3177.51+6872.52+851.09</f>
        <v>10901.12</v>
      </c>
      <c r="O74" s="25">
        <f t="shared" si="3"/>
        <v>10901.12</v>
      </c>
      <c r="P74" s="22">
        <f t="shared" si="4"/>
        <v>1</v>
      </c>
      <c r="Q74" s="25">
        <f t="shared" si="5"/>
        <v>10901.12</v>
      </c>
    </row>
    <row r="75" spans="1:17">
      <c r="A75" s="4"/>
      <c r="C75" s="28"/>
      <c r="D75" s="28"/>
      <c r="E75" s="28"/>
      <c r="F75" s="28"/>
      <c r="G75" s="28"/>
      <c r="H75" s="28"/>
      <c r="I75" s="28"/>
      <c r="N75" s="45"/>
      <c r="O75" s="28"/>
      <c r="Q75" s="28"/>
    </row>
    <row r="76" spans="1:17">
      <c r="B76" s="1" t="s">
        <v>140</v>
      </c>
      <c r="C76" s="5">
        <f>SUM(C2:C74)</f>
        <v>680097.67000000027</v>
      </c>
      <c r="D76" s="5">
        <f t="shared" ref="D76:P76" si="6">SUM(D2:D74)</f>
        <v>611964.58000000019</v>
      </c>
      <c r="E76" s="5">
        <f t="shared" si="6"/>
        <v>740155.49999999977</v>
      </c>
      <c r="F76" s="5">
        <f t="shared" si="6"/>
        <v>737730.75400000007</v>
      </c>
      <c r="G76" s="5">
        <f t="shared" si="6"/>
        <v>543430.5700000003</v>
      </c>
      <c r="H76" s="5">
        <f t="shared" si="6"/>
        <v>401210.8400000002</v>
      </c>
      <c r="I76" s="5">
        <f t="shared" si="6"/>
        <v>417860.44</v>
      </c>
      <c r="J76" s="5">
        <f t="shared" si="6"/>
        <v>478474.34</v>
      </c>
      <c r="K76" s="5">
        <f t="shared" si="6"/>
        <v>644288.31999999983</v>
      </c>
      <c r="L76" s="5">
        <f t="shared" si="6"/>
        <v>739222.60999999975</v>
      </c>
      <c r="M76" s="5">
        <f t="shared" si="6"/>
        <v>742055.2899999998</v>
      </c>
      <c r="N76" s="5">
        <f t="shared" si="6"/>
        <v>667538.54000000015</v>
      </c>
      <c r="O76" s="5">
        <f t="shared" si="6"/>
        <v>7404029.453999999</v>
      </c>
      <c r="P76" s="5">
        <f t="shared" si="6"/>
        <v>833</v>
      </c>
      <c r="Q76" s="5">
        <f>+O76/12</f>
        <v>617002.45449999988</v>
      </c>
    </row>
    <row r="77" spans="1:17">
      <c r="H77" s="8"/>
    </row>
  </sheetData>
  <phoneticPr fontId="3" type="noConversion"/>
  <pageMargins left="0.25" right="0.25" top="1" bottom="0.75" header="0.5" footer="0.5"/>
  <pageSetup scale="81" fitToHeight="2" orientation="landscape" r:id="rId1"/>
  <headerFooter alignWithMargins="0">
    <oddHeader>&amp;C&amp;"Arial,Bold"&amp;22Occupancy Tax Receipts
Fiscal Year 2007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8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0" sqref="H70"/>
    </sheetView>
  </sheetViews>
  <sheetFormatPr defaultColWidth="9.08984375" defaultRowHeight="10"/>
  <cols>
    <col min="1" max="1" width="7.90625" style="1" bestFit="1" customWidth="1"/>
    <col min="2" max="2" width="32.08984375" style="1" bestFit="1" customWidth="1"/>
    <col min="3" max="3" width="12" style="1" bestFit="1" customWidth="1"/>
    <col min="4" max="12" width="10.6328125" style="1" bestFit="1" customWidth="1"/>
    <col min="13" max="14" width="10.6328125" style="1" customWidth="1"/>
    <col min="15" max="15" width="12" style="1" bestFit="1" customWidth="1"/>
    <col min="16" max="16" width="0" style="1" hidden="1" customWidth="1"/>
    <col min="17" max="17" width="10.6328125" style="1" bestFit="1" customWidth="1"/>
    <col min="18" max="16384" width="9.08984375" style="1"/>
  </cols>
  <sheetData>
    <row r="1" spans="1:17" s="17" customFormat="1" ht="21">
      <c r="A1" s="14" t="s">
        <v>82</v>
      </c>
      <c r="B1" s="15" t="s">
        <v>0</v>
      </c>
      <c r="C1" s="16" t="s">
        <v>221</v>
      </c>
      <c r="D1" s="16" t="s">
        <v>222</v>
      </c>
      <c r="E1" s="16" t="s">
        <v>223</v>
      </c>
      <c r="F1" s="16" t="s">
        <v>224</v>
      </c>
      <c r="G1" s="16" t="s">
        <v>225</v>
      </c>
      <c r="H1" s="16" t="s">
        <v>226</v>
      </c>
      <c r="I1" s="18" t="s">
        <v>215</v>
      </c>
      <c r="J1" s="18" t="s">
        <v>216</v>
      </c>
      <c r="K1" s="19" t="s">
        <v>217</v>
      </c>
      <c r="L1" s="18" t="s">
        <v>218</v>
      </c>
      <c r="M1" s="18" t="s">
        <v>219</v>
      </c>
      <c r="N1" s="18" t="s">
        <v>220</v>
      </c>
      <c r="O1" s="26" t="s">
        <v>143</v>
      </c>
      <c r="P1" s="26"/>
      <c r="Q1" s="26" t="s">
        <v>142</v>
      </c>
    </row>
    <row r="2" spans="1:17">
      <c r="A2" s="4">
        <v>7005002</v>
      </c>
      <c r="B2" s="1" t="s">
        <v>227</v>
      </c>
      <c r="C2" s="5">
        <v>9611</v>
      </c>
      <c r="D2" s="32">
        <v>7572</v>
      </c>
      <c r="E2" s="32">
        <v>7384</v>
      </c>
      <c r="F2" s="32">
        <v>9906</v>
      </c>
      <c r="G2" s="32">
        <v>6337</v>
      </c>
      <c r="H2" s="5">
        <v>4209</v>
      </c>
      <c r="I2" s="5">
        <v>4053</v>
      </c>
      <c r="J2" s="5">
        <v>5653</v>
      </c>
      <c r="K2" s="5">
        <v>7342</v>
      </c>
      <c r="L2" s="5">
        <v>8471</v>
      </c>
      <c r="M2" s="5">
        <v>5982</v>
      </c>
      <c r="N2" s="5">
        <v>6254</v>
      </c>
      <c r="O2" s="8">
        <f t="shared" ref="O2:O33" si="0">+SUM(C2:N2)</f>
        <v>82774</v>
      </c>
      <c r="P2" s="1">
        <f t="shared" ref="P2:P33" si="1">COUNT(C2:N2)</f>
        <v>12</v>
      </c>
      <c r="Q2" s="5">
        <f t="shared" ref="Q2:Q26" si="2">+O2/P2</f>
        <v>6897.833333333333</v>
      </c>
    </row>
    <row r="3" spans="1:17">
      <c r="A3" s="4">
        <v>70097</v>
      </c>
      <c r="B3" s="1" t="s">
        <v>100</v>
      </c>
      <c r="C3" s="5">
        <v>3835.99</v>
      </c>
      <c r="D3" s="5">
        <v>1685.4</v>
      </c>
      <c r="E3" s="5">
        <v>1399.2</v>
      </c>
      <c r="F3" s="5">
        <v>4209.51</v>
      </c>
      <c r="G3" s="5">
        <v>1396.13</v>
      </c>
      <c r="H3" s="5">
        <v>860.52</v>
      </c>
      <c r="I3" s="5">
        <v>850.01</v>
      </c>
      <c r="J3" s="5">
        <v>3620.21</v>
      </c>
      <c r="K3" s="5">
        <v>4605.8900000000003</v>
      </c>
      <c r="L3" s="5">
        <v>5018.68</v>
      </c>
      <c r="M3" s="5">
        <v>2704.85</v>
      </c>
      <c r="N3" s="31">
        <v>2532.6999999999998</v>
      </c>
      <c r="O3" s="8">
        <f t="shared" si="0"/>
        <v>32719.09</v>
      </c>
      <c r="P3" s="1">
        <f t="shared" si="1"/>
        <v>12</v>
      </c>
      <c r="Q3" s="5">
        <f t="shared" si="2"/>
        <v>2726.5908333333332</v>
      </c>
    </row>
    <row r="4" spans="1:17">
      <c r="A4" s="4">
        <v>7003902</v>
      </c>
      <c r="B4" s="1" t="s">
        <v>228</v>
      </c>
      <c r="C4" s="5">
        <v>9006</v>
      </c>
      <c r="D4" s="32">
        <v>8065</v>
      </c>
      <c r="E4" s="32">
        <v>7038</v>
      </c>
      <c r="F4" s="32">
        <v>8245</v>
      </c>
      <c r="G4" s="32">
        <v>6323</v>
      </c>
      <c r="H4" s="5">
        <v>4472</v>
      </c>
      <c r="I4" s="5">
        <v>4117</v>
      </c>
      <c r="J4" s="5">
        <v>4896</v>
      </c>
      <c r="K4" s="5">
        <v>7368</v>
      </c>
      <c r="L4" s="5">
        <v>8813</v>
      </c>
      <c r="M4" s="5">
        <v>7798</v>
      </c>
      <c r="N4" s="5">
        <v>8938</v>
      </c>
      <c r="O4" s="8">
        <f t="shared" si="0"/>
        <v>85079</v>
      </c>
      <c r="P4" s="1">
        <f t="shared" si="1"/>
        <v>12</v>
      </c>
      <c r="Q4" s="5">
        <f t="shared" si="2"/>
        <v>7089.916666666667</v>
      </c>
    </row>
    <row r="5" spans="1:17">
      <c r="A5" s="4">
        <v>15008670</v>
      </c>
      <c r="B5" s="1" t="s">
        <v>114</v>
      </c>
      <c r="C5" s="5"/>
      <c r="D5" s="5"/>
      <c r="E5" s="31"/>
      <c r="F5" s="5"/>
      <c r="G5" s="5"/>
      <c r="H5" s="5"/>
      <c r="I5" s="5"/>
      <c r="J5" s="5">
        <v>1699.92</v>
      </c>
      <c r="K5" s="5">
        <v>3384.91</v>
      </c>
      <c r="L5" s="5">
        <v>3733.73</v>
      </c>
      <c r="M5" s="5">
        <v>2640.93</v>
      </c>
      <c r="N5" s="5">
        <v>1795.28</v>
      </c>
      <c r="O5" s="8">
        <f t="shared" si="0"/>
        <v>13254.77</v>
      </c>
      <c r="P5" s="1">
        <f t="shared" si="1"/>
        <v>5</v>
      </c>
      <c r="Q5" s="5">
        <f t="shared" si="2"/>
        <v>2650.9540000000002</v>
      </c>
    </row>
    <row r="6" spans="1:17">
      <c r="A6" s="4">
        <v>70000</v>
      </c>
      <c r="B6" s="1" t="s">
        <v>229</v>
      </c>
      <c r="C6" s="5">
        <v>943.06</v>
      </c>
      <c r="D6" s="5">
        <v>943.06</v>
      </c>
      <c r="E6" s="31">
        <v>1078.7</v>
      </c>
      <c r="F6" s="5">
        <v>1330.72</v>
      </c>
      <c r="G6" s="5">
        <v>1010.14</v>
      </c>
      <c r="H6" s="5">
        <v>924.49</v>
      </c>
      <c r="I6" s="5">
        <v>875.98</v>
      </c>
      <c r="J6" s="5">
        <v>755.16</v>
      </c>
      <c r="K6" s="5">
        <v>952.74</v>
      </c>
      <c r="L6" s="5">
        <v>876.56</v>
      </c>
      <c r="M6" s="5">
        <v>317.10000000000002</v>
      </c>
      <c r="N6" s="5">
        <v>1226.7</v>
      </c>
      <c r="O6" s="8">
        <f t="shared" si="0"/>
        <v>11234.41</v>
      </c>
      <c r="P6" s="1">
        <f t="shared" si="1"/>
        <v>12</v>
      </c>
      <c r="Q6" s="5">
        <f t="shared" si="2"/>
        <v>936.20083333333332</v>
      </c>
    </row>
    <row r="7" spans="1:17">
      <c r="A7" s="42">
        <v>70002</v>
      </c>
      <c r="B7" s="11" t="s">
        <v>230</v>
      </c>
      <c r="C7" s="5">
        <v>1978.8</v>
      </c>
      <c r="D7" s="5">
        <v>2296.5300000000002</v>
      </c>
      <c r="E7" s="5">
        <v>2316</v>
      </c>
      <c r="F7" s="5">
        <v>2034</v>
      </c>
      <c r="G7" s="5">
        <v>1794</v>
      </c>
      <c r="H7" s="5">
        <v>1628.09</v>
      </c>
      <c r="I7" s="5">
        <v>1518.12</v>
      </c>
      <c r="J7" s="5">
        <v>1578.33</v>
      </c>
      <c r="K7" s="5">
        <v>1695.42</v>
      </c>
      <c r="L7" s="5">
        <v>2076</v>
      </c>
      <c r="M7" s="5">
        <v>2076</v>
      </c>
      <c r="N7" s="5">
        <v>2076</v>
      </c>
      <c r="O7" s="8">
        <f t="shared" si="0"/>
        <v>23067.29</v>
      </c>
      <c r="P7" s="1">
        <f t="shared" si="1"/>
        <v>12</v>
      </c>
      <c r="Q7" s="5">
        <f t="shared" si="2"/>
        <v>1922.2741666666668</v>
      </c>
    </row>
    <row r="8" spans="1:17">
      <c r="A8" s="4">
        <v>70044</v>
      </c>
      <c r="B8" s="1" t="s">
        <v>231</v>
      </c>
      <c r="C8" s="5">
        <v>11111.09</v>
      </c>
      <c r="D8" s="5">
        <v>8243.7800000000007</v>
      </c>
      <c r="E8" s="32">
        <v>8613.1200000000008</v>
      </c>
      <c r="F8" s="28">
        <v>11660.22</v>
      </c>
      <c r="G8" s="5">
        <v>7369.22</v>
      </c>
      <c r="H8" s="5">
        <v>5513.73</v>
      </c>
      <c r="I8" s="5">
        <v>5336.03</v>
      </c>
      <c r="J8" s="5">
        <v>6219.2</v>
      </c>
      <c r="K8" s="5">
        <v>8539</v>
      </c>
      <c r="L8" s="5">
        <v>11722.73</v>
      </c>
      <c r="M8" s="5">
        <v>9930.4599999999991</v>
      </c>
      <c r="N8" s="5">
        <v>8665.75</v>
      </c>
      <c r="O8" s="8">
        <f t="shared" si="0"/>
        <v>102924.32999999999</v>
      </c>
      <c r="P8" s="1">
        <f t="shared" si="1"/>
        <v>12</v>
      </c>
      <c r="Q8" s="5">
        <f t="shared" si="2"/>
        <v>8577.0274999999983</v>
      </c>
    </row>
    <row r="9" spans="1:17">
      <c r="A9" s="4">
        <v>70067</v>
      </c>
      <c r="B9" s="1" t="s">
        <v>232</v>
      </c>
      <c r="C9" s="5">
        <v>3458.28</v>
      </c>
      <c r="D9" s="5">
        <v>2499.6</v>
      </c>
      <c r="E9" s="31">
        <v>2547.12</v>
      </c>
      <c r="F9" s="5">
        <v>4057.2</v>
      </c>
      <c r="G9" s="5">
        <v>2312.64</v>
      </c>
      <c r="H9" s="5">
        <v>1715.88</v>
      </c>
      <c r="I9" s="5">
        <v>1792.05</v>
      </c>
      <c r="J9" s="5">
        <v>1849.62</v>
      </c>
      <c r="K9" s="5">
        <v>2863.92</v>
      </c>
      <c r="L9" s="5">
        <v>4721.88</v>
      </c>
      <c r="M9" s="5">
        <v>3095.04</v>
      </c>
      <c r="N9" s="5">
        <v>3054.3</v>
      </c>
      <c r="O9" s="8">
        <f t="shared" si="0"/>
        <v>33967.53</v>
      </c>
      <c r="P9" s="1">
        <f t="shared" si="1"/>
        <v>12</v>
      </c>
      <c r="Q9" s="5">
        <f t="shared" si="2"/>
        <v>2830.6275000000001</v>
      </c>
    </row>
    <row r="10" spans="1:17">
      <c r="A10" s="57">
        <v>70003</v>
      </c>
      <c r="B10" s="58" t="s">
        <v>233</v>
      </c>
      <c r="C10" s="55">
        <v>1054.8</v>
      </c>
      <c r="D10" s="55">
        <v>1103.71</v>
      </c>
      <c r="E10" s="55">
        <v>1070.58</v>
      </c>
      <c r="F10" s="55">
        <v>1073.53</v>
      </c>
      <c r="G10" s="55">
        <v>691.78</v>
      </c>
      <c r="H10" s="59">
        <v>0</v>
      </c>
      <c r="I10" s="55"/>
      <c r="J10" s="55"/>
      <c r="K10" s="55"/>
      <c r="L10" s="55"/>
      <c r="M10" s="55"/>
      <c r="N10" s="55"/>
      <c r="O10" s="56">
        <f t="shared" si="0"/>
        <v>4994.3999999999996</v>
      </c>
      <c r="P10" s="54">
        <f t="shared" si="1"/>
        <v>6</v>
      </c>
      <c r="Q10" s="55">
        <f t="shared" si="2"/>
        <v>832.4</v>
      </c>
    </row>
    <row r="11" spans="1:17">
      <c r="A11" s="4">
        <v>70075</v>
      </c>
      <c r="B11" s="1" t="s">
        <v>234</v>
      </c>
      <c r="C11" s="5">
        <v>7591.33</v>
      </c>
      <c r="D11" s="5">
        <v>6381</v>
      </c>
      <c r="E11" s="5">
        <v>6242.69</v>
      </c>
      <c r="F11" s="5">
        <v>7890.98</v>
      </c>
      <c r="G11" s="5">
        <v>5143.32</v>
      </c>
      <c r="H11" s="5">
        <v>4082.13</v>
      </c>
      <c r="I11" s="5">
        <v>4043.5</v>
      </c>
      <c r="J11" s="5">
        <v>5641</v>
      </c>
      <c r="K11" s="5">
        <v>6157.65</v>
      </c>
      <c r="L11" s="5">
        <v>8124.46</v>
      </c>
      <c r="M11" s="5">
        <v>6864.86</v>
      </c>
      <c r="N11" s="5">
        <v>6255.66</v>
      </c>
      <c r="O11" s="8">
        <f t="shared" si="0"/>
        <v>74418.58</v>
      </c>
      <c r="P11" s="1">
        <f t="shared" si="1"/>
        <v>12</v>
      </c>
      <c r="Q11" s="5">
        <f t="shared" si="2"/>
        <v>6201.5483333333332</v>
      </c>
    </row>
    <row r="12" spans="1:17">
      <c r="A12" s="4">
        <v>70053</v>
      </c>
      <c r="B12" s="12" t="s">
        <v>235</v>
      </c>
      <c r="C12" s="5">
        <v>15873.5</v>
      </c>
      <c r="D12" s="31">
        <v>19833.54</v>
      </c>
      <c r="E12" s="31">
        <v>14153.71</v>
      </c>
      <c r="F12" s="5">
        <v>21946.41</v>
      </c>
      <c r="G12" s="5">
        <v>38104.410000000003</v>
      </c>
      <c r="H12" s="5">
        <v>7382</v>
      </c>
      <c r="I12" s="5">
        <v>9838.07</v>
      </c>
      <c r="J12" s="5">
        <v>10500.7</v>
      </c>
      <c r="K12" s="5">
        <v>15133.23</v>
      </c>
      <c r="L12" s="5">
        <v>18466.419999999998</v>
      </c>
      <c r="M12" s="5">
        <v>24492.75</v>
      </c>
      <c r="N12" s="31">
        <v>15337.61</v>
      </c>
      <c r="O12" s="8">
        <f t="shared" si="0"/>
        <v>211062.35000000003</v>
      </c>
      <c r="P12" s="1">
        <f t="shared" si="1"/>
        <v>12</v>
      </c>
      <c r="Q12" s="5">
        <f t="shared" si="2"/>
        <v>17588.529166666671</v>
      </c>
    </row>
    <row r="13" spans="1:17">
      <c r="A13" s="4">
        <v>15003404</v>
      </c>
      <c r="B13" s="12" t="s">
        <v>236</v>
      </c>
      <c r="C13" s="5">
        <v>13264.6</v>
      </c>
      <c r="D13" s="5">
        <v>11568.17</v>
      </c>
      <c r="E13" s="31">
        <v>12244.13</v>
      </c>
      <c r="F13" s="5">
        <v>16624.52</v>
      </c>
      <c r="G13" s="5">
        <v>12206.31</v>
      </c>
      <c r="H13" s="5">
        <v>9416.66</v>
      </c>
      <c r="I13" s="5">
        <v>10788.9</v>
      </c>
      <c r="J13" s="5">
        <v>11767.57</v>
      </c>
      <c r="K13" s="5">
        <v>14127.16</v>
      </c>
      <c r="L13" s="5">
        <v>18117.57</v>
      </c>
      <c r="M13" s="5">
        <v>15521.89</v>
      </c>
      <c r="N13" s="5">
        <v>13427.92</v>
      </c>
      <c r="O13" s="8">
        <f t="shared" si="0"/>
        <v>159075.4</v>
      </c>
      <c r="P13" s="1">
        <f t="shared" si="1"/>
        <v>12</v>
      </c>
      <c r="Q13" s="5">
        <f t="shared" si="2"/>
        <v>13256.283333333333</v>
      </c>
    </row>
    <row r="14" spans="1:17">
      <c r="A14" s="4">
        <v>70020</v>
      </c>
      <c r="B14" s="1" t="s">
        <v>237</v>
      </c>
      <c r="C14" s="5">
        <v>9510.98</v>
      </c>
      <c r="D14" s="5">
        <v>8159.82</v>
      </c>
      <c r="E14" s="31">
        <v>8606.31</v>
      </c>
      <c r="F14" s="28">
        <v>8803.2999999999993</v>
      </c>
      <c r="G14" s="5">
        <v>5728.5</v>
      </c>
      <c r="H14" s="5">
        <v>7064.78</v>
      </c>
      <c r="I14" s="5">
        <v>4677.63</v>
      </c>
      <c r="J14" s="5">
        <v>5535.85</v>
      </c>
      <c r="K14" s="35">
        <v>9272.98</v>
      </c>
      <c r="L14" s="5">
        <v>10326.379999999999</v>
      </c>
      <c r="M14" s="5">
        <v>7721.14</v>
      </c>
      <c r="N14" s="5">
        <v>10125.629999999999</v>
      </c>
      <c r="O14" s="8">
        <f t="shared" si="0"/>
        <v>95533.3</v>
      </c>
      <c r="P14" s="1">
        <f t="shared" si="1"/>
        <v>12</v>
      </c>
      <c r="Q14" s="5">
        <f t="shared" si="2"/>
        <v>7961.1083333333336</v>
      </c>
    </row>
    <row r="15" spans="1:17">
      <c r="A15" s="4">
        <v>70006</v>
      </c>
      <c r="B15" s="1" t="s">
        <v>238</v>
      </c>
      <c r="C15" s="5">
        <v>1231.26</v>
      </c>
      <c r="D15" s="5"/>
      <c r="E15" s="31"/>
      <c r="F15" s="5"/>
      <c r="G15" s="5"/>
      <c r="H15" s="5"/>
      <c r="I15" s="5"/>
      <c r="J15" s="5"/>
      <c r="K15" s="5"/>
      <c r="L15" s="5"/>
      <c r="M15" s="5"/>
      <c r="N15" s="5"/>
      <c r="O15" s="8">
        <f t="shared" si="0"/>
        <v>1231.26</v>
      </c>
      <c r="P15" s="1">
        <f t="shared" si="1"/>
        <v>1</v>
      </c>
      <c r="Q15" s="5">
        <f t="shared" si="2"/>
        <v>1231.26</v>
      </c>
    </row>
    <row r="16" spans="1:17">
      <c r="A16" s="53">
        <v>15006166</v>
      </c>
      <c r="B16" s="54" t="s">
        <v>238</v>
      </c>
      <c r="C16" s="55">
        <v>3318.62</v>
      </c>
      <c r="D16" s="55">
        <v>1576.65</v>
      </c>
      <c r="E16" s="55">
        <v>2718.58</v>
      </c>
      <c r="F16" s="55">
        <v>3675.18</v>
      </c>
      <c r="G16" s="55">
        <v>2222.5100000000002</v>
      </c>
      <c r="H16" s="55">
        <v>1915.79</v>
      </c>
      <c r="I16" s="55">
        <v>714.12</v>
      </c>
      <c r="J16" s="55"/>
      <c r="K16" s="55"/>
      <c r="L16" s="55"/>
      <c r="M16" s="55"/>
      <c r="N16" s="55"/>
      <c r="O16" s="56">
        <f t="shared" si="0"/>
        <v>16141.450000000003</v>
      </c>
      <c r="P16" s="54">
        <f t="shared" si="1"/>
        <v>7</v>
      </c>
      <c r="Q16" s="55">
        <f t="shared" si="2"/>
        <v>2305.9214285714288</v>
      </c>
    </row>
    <row r="17" spans="1:17">
      <c r="A17" s="4">
        <v>15007853</v>
      </c>
      <c r="B17" s="1" t="s">
        <v>111</v>
      </c>
      <c r="C17" s="5"/>
      <c r="D17" s="5"/>
      <c r="E17" s="31"/>
      <c r="F17" s="5"/>
      <c r="G17" s="5"/>
      <c r="H17" s="5"/>
      <c r="I17" s="5">
        <v>1331.77</v>
      </c>
      <c r="J17" s="5">
        <v>2084.56</v>
      </c>
      <c r="K17" s="5">
        <v>2611.88</v>
      </c>
      <c r="L17" s="5">
        <v>3443.02</v>
      </c>
      <c r="M17" s="5">
        <v>2716.82</v>
      </c>
      <c r="N17" s="5">
        <v>2921.19</v>
      </c>
      <c r="O17" s="8">
        <f t="shared" si="0"/>
        <v>15109.24</v>
      </c>
      <c r="P17" s="1">
        <f t="shared" si="1"/>
        <v>6</v>
      </c>
      <c r="Q17" s="5">
        <f t="shared" si="2"/>
        <v>2518.2066666666665</v>
      </c>
    </row>
    <row r="18" spans="1:17">
      <c r="A18" s="4">
        <v>70007</v>
      </c>
      <c r="B18" s="1" t="s">
        <v>239</v>
      </c>
      <c r="C18" s="5">
        <v>246</v>
      </c>
      <c r="D18" s="5">
        <v>255</v>
      </c>
      <c r="E18" s="5">
        <v>246</v>
      </c>
      <c r="F18" s="5">
        <v>243</v>
      </c>
      <c r="G18" s="5">
        <v>234</v>
      </c>
      <c r="H18" s="5">
        <v>225</v>
      </c>
      <c r="I18" s="5">
        <v>239.4</v>
      </c>
      <c r="J18" s="5">
        <v>252</v>
      </c>
      <c r="K18" s="5">
        <v>273</v>
      </c>
      <c r="L18" s="5">
        <v>283.5</v>
      </c>
      <c r="M18" s="5">
        <v>307.5</v>
      </c>
      <c r="N18" s="5">
        <v>321</v>
      </c>
      <c r="O18" s="8">
        <f t="shared" si="0"/>
        <v>3125.4</v>
      </c>
      <c r="P18" s="1">
        <f t="shared" si="1"/>
        <v>12</v>
      </c>
      <c r="Q18" s="5">
        <f t="shared" si="2"/>
        <v>260.45</v>
      </c>
    </row>
    <row r="19" spans="1:17">
      <c r="A19" s="4">
        <v>15005502</v>
      </c>
      <c r="B19" s="1" t="s">
        <v>240</v>
      </c>
      <c r="C19" s="5">
        <v>17580</v>
      </c>
      <c r="D19" s="5">
        <v>13452.6</v>
      </c>
      <c r="E19" s="5">
        <v>18330.47</v>
      </c>
      <c r="F19" s="31">
        <v>24351.599999999999</v>
      </c>
      <c r="G19" s="5">
        <v>12267.96</v>
      </c>
      <c r="H19" s="5">
        <v>9780.24</v>
      </c>
      <c r="I19" s="5">
        <v>9387.2199999999993</v>
      </c>
      <c r="J19" s="5">
        <v>11085.1</v>
      </c>
      <c r="K19" s="5">
        <v>12016.68</v>
      </c>
      <c r="L19" s="5">
        <v>22364.15</v>
      </c>
      <c r="M19" s="5">
        <v>20593.310000000001</v>
      </c>
      <c r="N19" s="5">
        <v>18514.61</v>
      </c>
      <c r="O19" s="8">
        <f t="shared" si="0"/>
        <v>189723.94</v>
      </c>
      <c r="P19" s="1">
        <f t="shared" si="1"/>
        <v>12</v>
      </c>
      <c r="Q19" s="5">
        <f t="shared" si="2"/>
        <v>15810.328333333333</v>
      </c>
    </row>
    <row r="20" spans="1:17">
      <c r="A20" s="4">
        <v>70008</v>
      </c>
      <c r="B20" s="1" t="s">
        <v>241</v>
      </c>
      <c r="C20" s="5">
        <v>2880.3</v>
      </c>
      <c r="D20" s="5">
        <v>2272.44</v>
      </c>
      <c r="E20" s="31">
        <v>2192.4</v>
      </c>
      <c r="F20" s="5">
        <v>2819.94</v>
      </c>
      <c r="G20" s="5">
        <v>1704.72</v>
      </c>
      <c r="H20" s="5">
        <v>1459.44</v>
      </c>
      <c r="I20" s="5">
        <v>1294.55</v>
      </c>
      <c r="J20" s="5">
        <v>1656.65</v>
      </c>
      <c r="K20" s="5">
        <v>2334.12</v>
      </c>
      <c r="L20" s="5">
        <v>3086.16</v>
      </c>
      <c r="M20" s="5">
        <v>2433.5700000000002</v>
      </c>
      <c r="N20" s="31">
        <v>2231.16</v>
      </c>
      <c r="O20" s="8">
        <f t="shared" si="0"/>
        <v>26365.449999999997</v>
      </c>
      <c r="P20" s="1">
        <f t="shared" si="1"/>
        <v>12</v>
      </c>
      <c r="Q20" s="5">
        <f t="shared" si="2"/>
        <v>2197.1208333333329</v>
      </c>
    </row>
    <row r="21" spans="1:17">
      <c r="A21" s="4">
        <v>70072</v>
      </c>
      <c r="B21" s="1" t="s">
        <v>242</v>
      </c>
      <c r="C21" s="5">
        <v>7889.77</v>
      </c>
      <c r="D21" s="5">
        <v>7293.4</v>
      </c>
      <c r="E21" s="31">
        <v>8028.86</v>
      </c>
      <c r="F21" s="5">
        <v>7667.72</v>
      </c>
      <c r="G21" s="5">
        <v>6381.11</v>
      </c>
      <c r="H21" s="5">
        <v>3535.72</v>
      </c>
      <c r="I21" s="5">
        <v>4163.8</v>
      </c>
      <c r="J21" s="5">
        <v>4317.8599999999997</v>
      </c>
      <c r="K21" s="5">
        <v>6532.47</v>
      </c>
      <c r="L21" s="5">
        <v>8489.75</v>
      </c>
      <c r="M21" s="5">
        <v>5803.83</v>
      </c>
      <c r="N21" s="31">
        <v>6244.61</v>
      </c>
      <c r="O21" s="8">
        <f t="shared" si="0"/>
        <v>76348.900000000009</v>
      </c>
      <c r="P21" s="1">
        <f t="shared" si="1"/>
        <v>12</v>
      </c>
      <c r="Q21" s="5">
        <f t="shared" si="2"/>
        <v>6362.4083333333338</v>
      </c>
    </row>
    <row r="22" spans="1:17">
      <c r="A22" s="4">
        <v>15007588</v>
      </c>
      <c r="B22" s="1" t="s">
        <v>246</v>
      </c>
      <c r="C22" s="5"/>
      <c r="D22" s="5"/>
      <c r="E22" s="31"/>
      <c r="F22" s="5">
        <v>10568.11</v>
      </c>
      <c r="G22" s="5">
        <v>15179.61</v>
      </c>
      <c r="H22" s="5">
        <v>11522.39</v>
      </c>
      <c r="I22" s="5">
        <v>13454.58</v>
      </c>
      <c r="J22" s="5">
        <v>12360.15</v>
      </c>
      <c r="K22" s="5">
        <v>16738.13</v>
      </c>
      <c r="L22" s="5">
        <v>20247.009999999998</v>
      </c>
      <c r="M22" s="5">
        <v>16633.18</v>
      </c>
      <c r="N22" s="31">
        <v>16801.28</v>
      </c>
      <c r="O22" s="8">
        <f t="shared" si="0"/>
        <v>133504.44</v>
      </c>
      <c r="P22" s="1">
        <f t="shared" si="1"/>
        <v>9</v>
      </c>
      <c r="Q22" s="5">
        <f t="shared" si="2"/>
        <v>14833.826666666668</v>
      </c>
    </row>
    <row r="23" spans="1:17">
      <c r="A23" s="4">
        <v>7001601</v>
      </c>
      <c r="B23" s="1" t="s">
        <v>243</v>
      </c>
      <c r="C23" s="5">
        <v>17994.509999999998</v>
      </c>
      <c r="D23" s="32">
        <v>17914.23</v>
      </c>
      <c r="E23" s="47">
        <v>17581.830000000002</v>
      </c>
      <c r="F23" s="32">
        <v>18626.59</v>
      </c>
      <c r="G23" s="32">
        <v>11488.79</v>
      </c>
      <c r="H23" s="5">
        <v>6375.97</v>
      </c>
      <c r="I23" s="35">
        <v>7206.6</v>
      </c>
      <c r="J23" s="5">
        <v>7350.66</v>
      </c>
      <c r="K23" s="5">
        <v>12262.73</v>
      </c>
      <c r="L23" s="31">
        <v>18283.04</v>
      </c>
      <c r="M23" s="5">
        <v>17980.02</v>
      </c>
      <c r="N23" s="31">
        <v>15631.86</v>
      </c>
      <c r="O23" s="8">
        <f t="shared" si="0"/>
        <v>168696.83000000002</v>
      </c>
      <c r="P23" s="1">
        <f t="shared" si="1"/>
        <v>12</v>
      </c>
      <c r="Q23" s="5">
        <f t="shared" si="2"/>
        <v>14058.069166666668</v>
      </c>
    </row>
    <row r="24" spans="1:17">
      <c r="A24" s="4">
        <v>70086</v>
      </c>
      <c r="B24" s="1" t="s">
        <v>244</v>
      </c>
      <c r="C24" s="5">
        <v>164.67</v>
      </c>
      <c r="D24" s="5">
        <v>160.01</v>
      </c>
      <c r="E24" s="5">
        <v>98.16</v>
      </c>
      <c r="F24" s="5">
        <v>315.24</v>
      </c>
      <c r="G24" s="3"/>
      <c r="H24" s="5"/>
      <c r="I24" s="5"/>
      <c r="J24" s="5"/>
      <c r="K24" s="5"/>
      <c r="L24" s="5"/>
      <c r="M24" s="5"/>
      <c r="N24" s="31"/>
      <c r="O24" s="8">
        <f t="shared" si="0"/>
        <v>738.07999999999993</v>
      </c>
      <c r="P24" s="1">
        <f t="shared" si="1"/>
        <v>4</v>
      </c>
      <c r="Q24" s="5">
        <f t="shared" si="2"/>
        <v>184.51999999999998</v>
      </c>
    </row>
    <row r="25" spans="1:17">
      <c r="A25" s="4">
        <v>7001202</v>
      </c>
      <c r="B25" s="1" t="s">
        <v>112</v>
      </c>
      <c r="C25" s="5">
        <v>1275</v>
      </c>
      <c r="D25" s="5">
        <v>1395</v>
      </c>
      <c r="E25" s="31">
        <v>1664.4</v>
      </c>
      <c r="F25" s="5">
        <v>2472.7800000000002</v>
      </c>
      <c r="G25" s="5">
        <v>2049.42</v>
      </c>
      <c r="H25" s="5"/>
      <c r="I25" s="5"/>
      <c r="J25" s="5"/>
      <c r="K25" s="5"/>
      <c r="L25" s="48"/>
      <c r="M25" s="48"/>
      <c r="N25" s="31"/>
      <c r="O25" s="8">
        <f t="shared" si="0"/>
        <v>8856.6</v>
      </c>
      <c r="P25" s="1">
        <f t="shared" si="1"/>
        <v>5</v>
      </c>
      <c r="Q25" s="5">
        <f t="shared" si="2"/>
        <v>1771.3200000000002</v>
      </c>
    </row>
    <row r="26" spans="1:17">
      <c r="A26" s="4">
        <v>15004535</v>
      </c>
      <c r="B26" s="1" t="s">
        <v>112</v>
      </c>
      <c r="C26" s="5"/>
      <c r="D26" s="5"/>
      <c r="E26" s="31"/>
      <c r="F26" s="5"/>
      <c r="G26" s="5"/>
      <c r="H26" s="5">
        <v>1091.46</v>
      </c>
      <c r="I26" s="5">
        <v>1227</v>
      </c>
      <c r="J26" s="5">
        <v>1612.86</v>
      </c>
      <c r="K26" s="5">
        <v>2010.12</v>
      </c>
      <c r="L26" s="5">
        <v>4326.12</v>
      </c>
      <c r="M26" s="5">
        <v>3278.52</v>
      </c>
      <c r="N26" s="31">
        <v>2650.02</v>
      </c>
      <c r="O26" s="8">
        <f t="shared" si="0"/>
        <v>16196.1</v>
      </c>
      <c r="P26" s="1">
        <f t="shared" si="1"/>
        <v>7</v>
      </c>
      <c r="Q26" s="5">
        <f t="shared" si="2"/>
        <v>2313.7285714285713</v>
      </c>
    </row>
    <row r="27" spans="1:17">
      <c r="A27" s="42">
        <v>70014</v>
      </c>
      <c r="B27" s="11" t="s">
        <v>245</v>
      </c>
      <c r="C27" s="35"/>
      <c r="D27" s="31"/>
      <c r="E27" s="5"/>
      <c r="F27" s="5"/>
      <c r="G27" s="5"/>
      <c r="H27" s="5"/>
      <c r="I27" s="5"/>
      <c r="J27" s="5"/>
      <c r="K27" s="5"/>
      <c r="L27" s="46"/>
      <c r="M27" s="46"/>
      <c r="N27" s="10"/>
      <c r="O27" s="8">
        <f t="shared" si="0"/>
        <v>0</v>
      </c>
      <c r="P27" s="1">
        <f t="shared" si="1"/>
        <v>0</v>
      </c>
      <c r="Q27" s="5"/>
    </row>
    <row r="28" spans="1:17">
      <c r="A28" s="4">
        <v>70079</v>
      </c>
      <c r="B28" s="1" t="s">
        <v>247</v>
      </c>
      <c r="C28" s="5">
        <v>12785.29</v>
      </c>
      <c r="D28" s="5">
        <v>11885.17</v>
      </c>
      <c r="E28" s="31">
        <v>12238.48</v>
      </c>
      <c r="F28" s="31">
        <v>17783.2</v>
      </c>
      <c r="G28" s="5">
        <v>10888.65</v>
      </c>
      <c r="H28" s="5">
        <v>7918.9</v>
      </c>
      <c r="I28" s="5">
        <v>9171.36</v>
      </c>
      <c r="J28" s="5">
        <v>9756.32</v>
      </c>
      <c r="K28" s="5">
        <v>13434.96</v>
      </c>
      <c r="L28" s="5">
        <v>16906.57</v>
      </c>
      <c r="M28" s="5">
        <v>13034.03</v>
      </c>
      <c r="N28" s="31">
        <v>12292.49</v>
      </c>
      <c r="O28" s="8">
        <f t="shared" si="0"/>
        <v>148095.41999999998</v>
      </c>
      <c r="P28" s="1">
        <f t="shared" si="1"/>
        <v>12</v>
      </c>
      <c r="Q28" s="5">
        <f t="shared" ref="Q28:Q59" si="3">+O28/P28</f>
        <v>12341.284999999998</v>
      </c>
    </row>
    <row r="29" spans="1:17">
      <c r="A29" s="4">
        <v>70017</v>
      </c>
      <c r="B29" s="1" t="s">
        <v>248</v>
      </c>
      <c r="C29" s="5">
        <v>28743.59</v>
      </c>
      <c r="D29" s="5">
        <v>27291.34</v>
      </c>
      <c r="E29" s="31">
        <v>32882.17</v>
      </c>
      <c r="F29" s="32">
        <v>39863.94</v>
      </c>
      <c r="G29" s="5">
        <v>28884.12</v>
      </c>
      <c r="H29" s="5">
        <v>20142.400000000001</v>
      </c>
      <c r="I29" s="5">
        <v>25058.79</v>
      </c>
      <c r="J29" s="5">
        <v>26224.77</v>
      </c>
      <c r="K29" s="5">
        <v>30379.38</v>
      </c>
      <c r="L29" s="5">
        <v>38410.230000000003</v>
      </c>
      <c r="M29" s="5">
        <v>31604.07</v>
      </c>
      <c r="N29" s="31">
        <v>28477.9</v>
      </c>
      <c r="O29" s="8">
        <f t="shared" si="0"/>
        <v>357962.7</v>
      </c>
      <c r="P29" s="1">
        <f t="shared" si="1"/>
        <v>12</v>
      </c>
      <c r="Q29" s="5">
        <f t="shared" si="3"/>
        <v>29830.225000000002</v>
      </c>
    </row>
    <row r="30" spans="1:17">
      <c r="A30" s="4">
        <v>70095</v>
      </c>
      <c r="B30" s="1" t="s">
        <v>249</v>
      </c>
      <c r="C30" s="5">
        <v>13871.432000000001</v>
      </c>
      <c r="D30" s="5">
        <v>12397.5</v>
      </c>
      <c r="E30" s="31">
        <v>12922.23</v>
      </c>
      <c r="F30" s="5">
        <v>16376.87</v>
      </c>
      <c r="G30" s="5">
        <v>11205.74</v>
      </c>
      <c r="H30" s="5">
        <v>6691.93</v>
      </c>
      <c r="I30" s="5">
        <v>10135.16</v>
      </c>
      <c r="J30" s="5">
        <v>10835.85</v>
      </c>
      <c r="K30" s="5">
        <v>12660.24</v>
      </c>
      <c r="L30" s="5">
        <v>16400.48</v>
      </c>
      <c r="M30" s="5">
        <v>13047.96</v>
      </c>
      <c r="N30" s="31">
        <v>12703.49</v>
      </c>
      <c r="O30" s="8">
        <f t="shared" si="0"/>
        <v>149248.88199999998</v>
      </c>
      <c r="P30" s="1">
        <f t="shared" si="1"/>
        <v>12</v>
      </c>
      <c r="Q30" s="5">
        <f t="shared" si="3"/>
        <v>12437.406833333333</v>
      </c>
    </row>
    <row r="31" spans="1:17">
      <c r="A31" s="4">
        <v>7006902</v>
      </c>
      <c r="B31" s="1" t="s">
        <v>249</v>
      </c>
      <c r="C31" s="31">
        <v>7496</v>
      </c>
      <c r="D31" s="32">
        <v>7266</v>
      </c>
      <c r="E31" s="32">
        <v>6410</v>
      </c>
      <c r="F31" s="32">
        <v>8285</v>
      </c>
      <c r="G31" s="32">
        <v>5696</v>
      </c>
      <c r="H31" s="5">
        <v>4462</v>
      </c>
      <c r="I31" s="5">
        <v>4707</v>
      </c>
      <c r="J31" s="5">
        <v>5277</v>
      </c>
      <c r="K31" s="31">
        <v>6715</v>
      </c>
      <c r="L31" s="5">
        <v>8655</v>
      </c>
      <c r="M31" s="5">
        <v>7334</v>
      </c>
      <c r="N31" s="31">
        <v>7227</v>
      </c>
      <c r="O31" s="8">
        <f t="shared" si="0"/>
        <v>79530</v>
      </c>
      <c r="P31" s="1">
        <f t="shared" si="1"/>
        <v>12</v>
      </c>
      <c r="Q31" s="5">
        <f t="shared" si="3"/>
        <v>6627.5</v>
      </c>
    </row>
    <row r="32" spans="1:17">
      <c r="A32" s="4">
        <v>70018</v>
      </c>
      <c r="B32" s="1" t="s">
        <v>250</v>
      </c>
      <c r="C32" s="31">
        <v>32881.33</v>
      </c>
      <c r="D32" s="5">
        <v>35630.050000000003</v>
      </c>
      <c r="E32" s="31">
        <v>26285.11</v>
      </c>
      <c r="F32" s="32">
        <v>38187.339999999997</v>
      </c>
      <c r="G32" s="5">
        <v>21462.33</v>
      </c>
      <c r="H32" s="5">
        <v>13708.73</v>
      </c>
      <c r="I32" s="5">
        <v>15979.68</v>
      </c>
      <c r="J32" s="5">
        <v>19381.39</v>
      </c>
      <c r="K32" s="5">
        <v>25950.2</v>
      </c>
      <c r="L32" s="5">
        <v>37556.050000000003</v>
      </c>
      <c r="M32" s="5">
        <v>35358.720000000001</v>
      </c>
      <c r="N32" s="31">
        <v>28173.51</v>
      </c>
      <c r="O32" s="8">
        <f t="shared" si="0"/>
        <v>330554.44000000006</v>
      </c>
      <c r="P32" s="1">
        <f t="shared" si="1"/>
        <v>12</v>
      </c>
      <c r="Q32" s="5">
        <f t="shared" si="3"/>
        <v>27546.203333333338</v>
      </c>
    </row>
    <row r="33" spans="1:17">
      <c r="A33" s="4">
        <v>70019</v>
      </c>
      <c r="B33" s="1" t="s">
        <v>251</v>
      </c>
      <c r="C33" s="5">
        <v>13387.71</v>
      </c>
      <c r="D33" s="5">
        <v>13387.71</v>
      </c>
      <c r="E33" s="31">
        <v>10662.79</v>
      </c>
      <c r="F33" s="50">
        <v>8652.65</v>
      </c>
      <c r="G33" s="5">
        <v>6153.92</v>
      </c>
      <c r="H33" s="31">
        <v>6407.33</v>
      </c>
      <c r="I33" s="5">
        <v>6782.82</v>
      </c>
      <c r="J33" s="5">
        <v>7770.89</v>
      </c>
      <c r="K33" s="5">
        <v>9699.77</v>
      </c>
      <c r="L33" s="5">
        <v>15338.62</v>
      </c>
      <c r="M33" s="5">
        <v>13374.83</v>
      </c>
      <c r="N33" s="31">
        <v>8715.7000000000007</v>
      </c>
      <c r="O33" s="8">
        <f t="shared" si="0"/>
        <v>120334.74</v>
      </c>
      <c r="P33" s="1">
        <f t="shared" si="1"/>
        <v>12</v>
      </c>
      <c r="Q33" s="5">
        <f t="shared" si="3"/>
        <v>10027.895</v>
      </c>
    </row>
    <row r="34" spans="1:17">
      <c r="A34" s="4">
        <v>70093</v>
      </c>
      <c r="B34" s="1" t="s">
        <v>252</v>
      </c>
      <c r="C34" s="5">
        <v>2630.62</v>
      </c>
      <c r="D34" s="5">
        <v>2391.62</v>
      </c>
      <c r="E34" s="31">
        <v>1986.42</v>
      </c>
      <c r="F34" s="31">
        <v>2904.04</v>
      </c>
      <c r="G34" s="5">
        <v>1672.98</v>
      </c>
      <c r="H34" s="31">
        <v>1399.42</v>
      </c>
      <c r="I34" s="31">
        <v>1918.64</v>
      </c>
      <c r="J34" s="32"/>
      <c r="K34" s="5"/>
      <c r="L34" s="5"/>
      <c r="M34" s="5"/>
      <c r="N34" s="31"/>
      <c r="O34" s="8">
        <f t="shared" ref="O34:O65" si="4">+SUM(C34:N34)</f>
        <v>14903.74</v>
      </c>
      <c r="P34" s="1">
        <f t="shared" ref="P34:P65" si="5">COUNT(C34:N34)</f>
        <v>7</v>
      </c>
      <c r="Q34" s="5">
        <f t="shared" si="3"/>
        <v>2129.1057142857144</v>
      </c>
    </row>
    <row r="35" spans="1:17">
      <c r="A35" s="4">
        <v>70092</v>
      </c>
      <c r="B35" s="1" t="s">
        <v>93</v>
      </c>
      <c r="C35" s="31">
        <v>14397.06</v>
      </c>
      <c r="D35" s="35">
        <v>13544.38</v>
      </c>
      <c r="E35" s="35">
        <v>14528.52</v>
      </c>
      <c r="F35" s="31">
        <v>17845.2</v>
      </c>
      <c r="G35" s="5">
        <v>13588.61</v>
      </c>
      <c r="H35" s="31">
        <v>8281.07</v>
      </c>
      <c r="I35" s="31">
        <v>10292.4</v>
      </c>
      <c r="J35" s="43">
        <v>12416.32</v>
      </c>
      <c r="K35" s="5">
        <v>13864.69</v>
      </c>
      <c r="L35" s="5">
        <v>15225.62</v>
      </c>
      <c r="M35" s="5">
        <v>14073.56</v>
      </c>
      <c r="N35" s="31">
        <v>13462.13</v>
      </c>
      <c r="O35" s="8">
        <f t="shared" si="4"/>
        <v>161519.56</v>
      </c>
      <c r="P35" s="1">
        <f t="shared" si="5"/>
        <v>12</v>
      </c>
      <c r="Q35" s="5">
        <f t="shared" si="3"/>
        <v>13459.963333333333</v>
      </c>
    </row>
    <row r="36" spans="1:17">
      <c r="A36" s="4">
        <v>70099</v>
      </c>
      <c r="B36" s="1" t="s">
        <v>105</v>
      </c>
      <c r="C36" s="5">
        <v>13630.96</v>
      </c>
      <c r="D36" s="5">
        <v>10476.08</v>
      </c>
      <c r="E36" s="5">
        <v>11088.08</v>
      </c>
      <c r="F36" s="5">
        <v>15995.32</v>
      </c>
      <c r="G36" s="5">
        <v>11093.19</v>
      </c>
      <c r="H36" s="5">
        <v>7005.34</v>
      </c>
      <c r="I36" s="5">
        <v>10424.620000000001</v>
      </c>
      <c r="J36" s="5">
        <v>10275.629999999999</v>
      </c>
      <c r="K36" s="5">
        <v>12780.35</v>
      </c>
      <c r="L36" s="5">
        <v>14492.43</v>
      </c>
      <c r="M36" s="5">
        <v>11552.95</v>
      </c>
      <c r="N36" s="5">
        <v>10816.96</v>
      </c>
      <c r="O36" s="8">
        <f t="shared" si="4"/>
        <v>139631.91</v>
      </c>
      <c r="P36" s="1">
        <f t="shared" si="5"/>
        <v>12</v>
      </c>
      <c r="Q36" s="5">
        <f t="shared" si="3"/>
        <v>11635.9925</v>
      </c>
    </row>
    <row r="37" spans="1:17">
      <c r="A37" s="4">
        <v>70021</v>
      </c>
      <c r="B37" s="1" t="s">
        <v>253</v>
      </c>
      <c r="C37" s="5">
        <v>39196.36</v>
      </c>
      <c r="D37" s="5">
        <v>35767.980000000003</v>
      </c>
      <c r="E37" s="31">
        <v>41679.24</v>
      </c>
      <c r="F37" s="28">
        <v>58565.760000000002</v>
      </c>
      <c r="G37" s="5">
        <v>43470.9</v>
      </c>
      <c r="H37" s="5">
        <v>27329.759999999998</v>
      </c>
      <c r="I37" s="5">
        <v>24185.94</v>
      </c>
      <c r="J37" s="5">
        <v>26569.439999999999</v>
      </c>
      <c r="K37" s="5">
        <v>34183.5</v>
      </c>
      <c r="L37" s="5">
        <v>50343.42</v>
      </c>
      <c r="M37" s="5">
        <v>34732.379999999997</v>
      </c>
      <c r="N37" s="5">
        <v>38581.53</v>
      </c>
      <c r="O37" s="8">
        <f t="shared" si="4"/>
        <v>454606.20999999996</v>
      </c>
      <c r="P37" s="1">
        <f t="shared" si="5"/>
        <v>12</v>
      </c>
      <c r="Q37" s="5">
        <f t="shared" si="3"/>
        <v>37883.85083333333</v>
      </c>
    </row>
    <row r="38" spans="1:17">
      <c r="A38" s="4">
        <v>7002501</v>
      </c>
      <c r="B38" s="1" t="s">
        <v>254</v>
      </c>
      <c r="C38" s="5">
        <v>4718</v>
      </c>
      <c r="D38" s="32">
        <v>4554</v>
      </c>
      <c r="E38" s="32">
        <v>3930</v>
      </c>
      <c r="F38" s="32">
        <v>4599</v>
      </c>
      <c r="G38" s="32">
        <v>2835</v>
      </c>
      <c r="H38" s="31">
        <v>1733.36</v>
      </c>
      <c r="I38" s="31">
        <v>1835.58</v>
      </c>
      <c r="J38" s="35">
        <v>1486</v>
      </c>
      <c r="K38" s="31">
        <v>1875.66</v>
      </c>
      <c r="L38" s="5">
        <v>2954</v>
      </c>
      <c r="M38" s="5">
        <v>3113</v>
      </c>
      <c r="N38" s="5">
        <v>2617</v>
      </c>
      <c r="O38" s="8">
        <f t="shared" si="4"/>
        <v>36250.600000000006</v>
      </c>
      <c r="P38" s="1">
        <f t="shared" si="5"/>
        <v>12</v>
      </c>
      <c r="Q38" s="5">
        <f t="shared" si="3"/>
        <v>3020.8833333333337</v>
      </c>
    </row>
    <row r="39" spans="1:17">
      <c r="A39" s="57">
        <v>7002801</v>
      </c>
      <c r="B39" s="58" t="s">
        <v>255</v>
      </c>
      <c r="C39" s="55">
        <v>4243.92</v>
      </c>
      <c r="D39" s="60">
        <v>1265.47</v>
      </c>
      <c r="E39" s="60">
        <v>970.91</v>
      </c>
      <c r="F39" s="60">
        <v>1029.3699999999999</v>
      </c>
      <c r="G39" s="60"/>
      <c r="H39" s="61"/>
      <c r="I39" s="54"/>
      <c r="J39" s="54"/>
      <c r="K39" s="54"/>
      <c r="L39" s="54"/>
      <c r="M39" s="54"/>
      <c r="N39" s="54"/>
      <c r="O39" s="56">
        <f t="shared" si="4"/>
        <v>7509.67</v>
      </c>
      <c r="P39" s="54">
        <f t="shared" si="5"/>
        <v>4</v>
      </c>
      <c r="Q39" s="55">
        <f t="shared" si="3"/>
        <v>1877.4175</v>
      </c>
    </row>
    <row r="40" spans="1:17">
      <c r="A40" s="4">
        <v>70026</v>
      </c>
      <c r="B40" s="1" t="s">
        <v>256</v>
      </c>
      <c r="C40" s="5">
        <v>13537.27</v>
      </c>
      <c r="D40" s="31">
        <v>12947.59</v>
      </c>
      <c r="E40" s="32">
        <v>11120.9</v>
      </c>
      <c r="F40" s="43">
        <v>12106.31</v>
      </c>
      <c r="G40" s="5">
        <v>6737.74</v>
      </c>
      <c r="H40" s="5">
        <v>3235.14</v>
      </c>
      <c r="I40" s="5">
        <v>4257.12</v>
      </c>
      <c r="J40" s="5">
        <v>4260.47</v>
      </c>
      <c r="K40" s="31">
        <v>6540.2</v>
      </c>
      <c r="L40" s="5">
        <v>11099.69</v>
      </c>
      <c r="M40" s="5">
        <v>11731.29</v>
      </c>
      <c r="N40" s="5">
        <v>12176.67</v>
      </c>
      <c r="O40" s="8">
        <f t="shared" si="4"/>
        <v>109750.39</v>
      </c>
      <c r="P40" s="1">
        <f t="shared" si="5"/>
        <v>12</v>
      </c>
      <c r="Q40" s="5">
        <f t="shared" si="3"/>
        <v>9145.8658333333333</v>
      </c>
    </row>
    <row r="41" spans="1:17">
      <c r="A41" s="1">
        <v>700022</v>
      </c>
      <c r="B41" s="1" t="s">
        <v>257</v>
      </c>
      <c r="C41" s="5"/>
      <c r="D41" s="5">
        <v>504.61</v>
      </c>
      <c r="E41" s="5"/>
      <c r="F41" s="5"/>
      <c r="G41" s="5"/>
      <c r="H41" s="5"/>
      <c r="I41" s="5"/>
      <c r="N41" s="45"/>
      <c r="O41" s="8">
        <f t="shared" si="4"/>
        <v>504.61</v>
      </c>
      <c r="P41" s="1">
        <f t="shared" si="5"/>
        <v>1</v>
      </c>
      <c r="Q41" s="5">
        <f t="shared" si="3"/>
        <v>504.61</v>
      </c>
    </row>
    <row r="42" spans="1:17">
      <c r="A42" s="4">
        <v>70076</v>
      </c>
      <c r="B42" s="1" t="s">
        <v>258</v>
      </c>
      <c r="C42" s="5">
        <v>10998.47</v>
      </c>
      <c r="D42" s="5">
        <v>9632.57</v>
      </c>
      <c r="E42" s="5">
        <v>9819.86</v>
      </c>
      <c r="F42" s="5">
        <v>12109.9</v>
      </c>
      <c r="G42" s="5">
        <v>8565.2099999999991</v>
      </c>
      <c r="H42" s="5">
        <v>5487.15</v>
      </c>
      <c r="I42" s="5">
        <v>6216.8</v>
      </c>
      <c r="J42" s="5">
        <v>6719.87</v>
      </c>
      <c r="K42" s="5">
        <v>8924.84</v>
      </c>
      <c r="L42" s="5">
        <v>12517.69</v>
      </c>
      <c r="M42" s="5">
        <v>9491.6200000000008</v>
      </c>
      <c r="N42" s="5">
        <v>9671.08</v>
      </c>
      <c r="O42" s="8">
        <f t="shared" si="4"/>
        <v>110155.06</v>
      </c>
      <c r="P42" s="1">
        <f t="shared" si="5"/>
        <v>12</v>
      </c>
      <c r="Q42" s="5">
        <f t="shared" si="3"/>
        <v>9179.5883333333331</v>
      </c>
    </row>
    <row r="43" spans="1:17">
      <c r="A43" s="42">
        <v>70081</v>
      </c>
      <c r="B43" s="11" t="s">
        <v>259</v>
      </c>
      <c r="C43" s="5">
        <v>35497.83</v>
      </c>
      <c r="D43" s="5">
        <v>27820.35</v>
      </c>
      <c r="E43" s="31">
        <v>51251.16</v>
      </c>
      <c r="F43" s="31">
        <v>54221.78</v>
      </c>
      <c r="G43" s="5">
        <v>29343.87</v>
      </c>
      <c r="H43" s="5">
        <v>25749.27</v>
      </c>
      <c r="I43" s="5">
        <v>21803.65</v>
      </c>
      <c r="J43" s="5">
        <v>28854.7</v>
      </c>
      <c r="K43" s="5">
        <v>42927.42</v>
      </c>
      <c r="L43" s="5">
        <v>47055.85</v>
      </c>
      <c r="M43" s="5">
        <v>42401.07</v>
      </c>
      <c r="N43" s="5">
        <v>44933.51</v>
      </c>
      <c r="O43" s="8">
        <f t="shared" si="4"/>
        <v>451860.45999999996</v>
      </c>
      <c r="P43" s="1">
        <f t="shared" si="5"/>
        <v>12</v>
      </c>
      <c r="Q43" s="5">
        <f t="shared" si="3"/>
        <v>37655.03833333333</v>
      </c>
    </row>
    <row r="44" spans="1:17">
      <c r="A44" s="4">
        <v>70062</v>
      </c>
      <c r="B44" s="1" t="s">
        <v>260</v>
      </c>
      <c r="C44" s="5">
        <v>8635.76</v>
      </c>
      <c r="D44" s="5">
        <v>8957.84</v>
      </c>
      <c r="E44" s="31">
        <v>8976.98</v>
      </c>
      <c r="F44" s="5">
        <v>10866.28</v>
      </c>
      <c r="G44" s="5">
        <v>8133.18</v>
      </c>
      <c r="H44" s="5">
        <v>5299.07</v>
      </c>
      <c r="I44" s="5">
        <v>6143.42</v>
      </c>
      <c r="J44" s="5">
        <v>6724.64</v>
      </c>
      <c r="K44" s="5">
        <v>9151.25</v>
      </c>
      <c r="L44" s="5">
        <v>10843.22</v>
      </c>
      <c r="M44" s="5">
        <v>8765.98</v>
      </c>
      <c r="N44" s="5">
        <v>8747.2199999999993</v>
      </c>
      <c r="O44" s="8">
        <f t="shared" si="4"/>
        <v>101244.84</v>
      </c>
      <c r="P44" s="1">
        <f t="shared" si="5"/>
        <v>12</v>
      </c>
      <c r="Q44" s="5">
        <f t="shared" si="3"/>
        <v>8437.07</v>
      </c>
    </row>
    <row r="45" spans="1:17">
      <c r="A45" s="4">
        <v>70063</v>
      </c>
      <c r="B45" s="1" t="s">
        <v>261</v>
      </c>
      <c r="C45" s="5">
        <v>10750.95</v>
      </c>
      <c r="D45" s="5">
        <v>10555.75</v>
      </c>
      <c r="E45" s="5">
        <v>10575.38</v>
      </c>
      <c r="F45" s="5">
        <v>13574.09</v>
      </c>
      <c r="G45" s="5">
        <v>9764.61</v>
      </c>
      <c r="H45" s="5">
        <v>7516.31</v>
      </c>
      <c r="I45" s="5">
        <v>9228.76</v>
      </c>
      <c r="J45" s="5">
        <v>9575.6299999999992</v>
      </c>
      <c r="K45" s="5">
        <v>10930.82</v>
      </c>
      <c r="L45" s="5">
        <v>12663.16</v>
      </c>
      <c r="M45" s="5">
        <v>11063.37</v>
      </c>
      <c r="N45" s="5">
        <v>10043.75</v>
      </c>
      <c r="O45" s="8">
        <f t="shared" si="4"/>
        <v>126242.57999999999</v>
      </c>
      <c r="P45" s="1">
        <f t="shared" si="5"/>
        <v>12</v>
      </c>
      <c r="Q45" s="5">
        <f t="shared" si="3"/>
        <v>10520.214999999998</v>
      </c>
    </row>
    <row r="46" spans="1:17">
      <c r="A46" s="4">
        <v>70027</v>
      </c>
      <c r="B46" s="1" t="s">
        <v>262</v>
      </c>
      <c r="C46" s="5">
        <v>265.74</v>
      </c>
      <c r="D46" s="5">
        <v>321.64</v>
      </c>
      <c r="E46" s="31">
        <v>302.3</v>
      </c>
      <c r="F46" s="28">
        <v>305.87</v>
      </c>
      <c r="G46" s="5">
        <v>299.68</v>
      </c>
      <c r="H46" s="5">
        <v>272.14999999999998</v>
      </c>
      <c r="I46" s="28">
        <v>264.77</v>
      </c>
      <c r="J46" s="5">
        <v>331.04</v>
      </c>
      <c r="K46" s="5">
        <v>309.23</v>
      </c>
      <c r="L46" s="5">
        <v>309.20999999999998</v>
      </c>
      <c r="M46" s="5">
        <v>341.31</v>
      </c>
      <c r="N46" s="5">
        <v>338.51</v>
      </c>
      <c r="O46" s="8">
        <f t="shared" si="4"/>
        <v>3661.45</v>
      </c>
      <c r="P46" s="1">
        <f t="shared" si="5"/>
        <v>12</v>
      </c>
      <c r="Q46" s="5">
        <f t="shared" si="3"/>
        <v>305.12083333333334</v>
      </c>
    </row>
    <row r="47" spans="1:17">
      <c r="A47" s="4">
        <v>70087</v>
      </c>
      <c r="B47" s="1" t="s">
        <v>109</v>
      </c>
      <c r="C47" s="5">
        <v>2550.7800000000002</v>
      </c>
      <c r="D47" s="5">
        <v>979.08</v>
      </c>
      <c r="E47" s="5">
        <v>3204.84</v>
      </c>
      <c r="F47" s="5">
        <v>1622.52</v>
      </c>
      <c r="G47" s="5">
        <v>1751.04</v>
      </c>
      <c r="H47" s="36">
        <v>1422.6</v>
      </c>
      <c r="I47" s="5">
        <v>605.34</v>
      </c>
      <c r="J47" s="5">
        <v>875.1</v>
      </c>
      <c r="K47" s="5">
        <v>2442.06</v>
      </c>
      <c r="L47" s="5">
        <v>1666.38</v>
      </c>
      <c r="M47" s="5">
        <v>2303.2800000000002</v>
      </c>
      <c r="N47" s="5">
        <v>1574.22</v>
      </c>
      <c r="O47" s="8">
        <f t="shared" si="4"/>
        <v>20997.24</v>
      </c>
      <c r="P47" s="1">
        <f t="shared" si="5"/>
        <v>12</v>
      </c>
      <c r="Q47" s="5">
        <f t="shared" si="3"/>
        <v>1749.7700000000002</v>
      </c>
    </row>
    <row r="48" spans="1:17">
      <c r="A48" s="4">
        <v>7002901</v>
      </c>
      <c r="B48" s="1" t="s">
        <v>263</v>
      </c>
      <c r="C48" s="31">
        <v>3607.44</v>
      </c>
      <c r="D48" s="32">
        <v>2995.56</v>
      </c>
      <c r="E48" s="32">
        <v>3024.18</v>
      </c>
      <c r="F48" s="32">
        <v>3561.61</v>
      </c>
      <c r="G48" s="32">
        <v>2467.44</v>
      </c>
      <c r="H48" s="32">
        <v>1735.07</v>
      </c>
      <c r="I48" s="28">
        <v>1516.39</v>
      </c>
      <c r="J48" s="5">
        <v>1900.03</v>
      </c>
      <c r="K48" s="5">
        <v>2951.55</v>
      </c>
      <c r="L48" s="5">
        <v>3536.08</v>
      </c>
      <c r="M48" s="5">
        <v>2926.09</v>
      </c>
      <c r="N48" s="5">
        <v>2763.77</v>
      </c>
      <c r="O48" s="8">
        <f t="shared" si="4"/>
        <v>32985.21</v>
      </c>
      <c r="P48" s="1">
        <f t="shared" si="5"/>
        <v>12</v>
      </c>
      <c r="Q48" s="5">
        <f t="shared" si="3"/>
        <v>2748.7674999999999</v>
      </c>
    </row>
    <row r="49" spans="1:17">
      <c r="A49" s="4">
        <v>70088</v>
      </c>
      <c r="B49" s="1" t="s">
        <v>88</v>
      </c>
      <c r="C49" s="5">
        <v>599.04</v>
      </c>
      <c r="D49" s="5">
        <v>549.36</v>
      </c>
      <c r="E49" s="31">
        <v>394.74</v>
      </c>
      <c r="F49" s="5">
        <v>1228.17</v>
      </c>
      <c r="G49" s="5">
        <v>282.56</v>
      </c>
      <c r="H49" s="5">
        <v>373.9</v>
      </c>
      <c r="I49" s="5">
        <v>233.49</v>
      </c>
      <c r="J49" s="5">
        <v>177.19</v>
      </c>
      <c r="K49" s="5">
        <v>330.97</v>
      </c>
      <c r="L49" s="5">
        <v>1127.96</v>
      </c>
      <c r="M49" s="5">
        <v>664.81</v>
      </c>
      <c r="N49" s="5">
        <v>322.44</v>
      </c>
      <c r="O49" s="8">
        <f t="shared" si="4"/>
        <v>6284.63</v>
      </c>
      <c r="P49" s="1">
        <f t="shared" si="5"/>
        <v>12</v>
      </c>
      <c r="Q49" s="5">
        <f t="shared" si="3"/>
        <v>523.71916666666664</v>
      </c>
    </row>
    <row r="50" spans="1:17">
      <c r="A50" s="4">
        <v>70030</v>
      </c>
      <c r="B50" s="1" t="s">
        <v>264</v>
      </c>
      <c r="C50" s="31">
        <v>61270.559999999998</v>
      </c>
      <c r="D50" s="5">
        <v>69452.66</v>
      </c>
      <c r="E50" s="5">
        <v>154630.39999999999</v>
      </c>
      <c r="F50" s="28">
        <v>83398.75</v>
      </c>
      <c r="G50" s="5">
        <v>56284.98</v>
      </c>
      <c r="H50" s="5">
        <v>28584.34</v>
      </c>
      <c r="I50" s="5">
        <v>31779.75</v>
      </c>
      <c r="J50" s="38">
        <v>40108.699999999997</v>
      </c>
      <c r="K50" s="5">
        <v>51205.71</v>
      </c>
      <c r="L50" s="5">
        <v>64681.760000000002</v>
      </c>
      <c r="M50" s="5">
        <v>98671.47</v>
      </c>
      <c r="N50" s="5">
        <v>67651.8</v>
      </c>
      <c r="O50" s="8">
        <f t="shared" si="4"/>
        <v>807720.88</v>
      </c>
      <c r="P50" s="1">
        <f t="shared" si="5"/>
        <v>12</v>
      </c>
      <c r="Q50" s="5">
        <f t="shared" si="3"/>
        <v>67310.073333333334</v>
      </c>
    </row>
    <row r="51" spans="1:17">
      <c r="A51" s="4">
        <v>7005102</v>
      </c>
      <c r="B51" s="1" t="s">
        <v>265</v>
      </c>
      <c r="C51" s="5">
        <v>5811</v>
      </c>
      <c r="D51" s="32">
        <v>5126.6400000000003</v>
      </c>
      <c r="E51" s="32">
        <v>5439.61</v>
      </c>
      <c r="F51" s="32">
        <v>5865</v>
      </c>
      <c r="G51" s="32">
        <v>4304.34</v>
      </c>
      <c r="H51" s="5">
        <v>3499.92</v>
      </c>
      <c r="I51" s="5">
        <v>2801.67</v>
      </c>
      <c r="J51" s="5">
        <v>3059.95</v>
      </c>
      <c r="K51" s="5">
        <v>4277.83</v>
      </c>
      <c r="L51" s="5">
        <v>4985.8599999999997</v>
      </c>
      <c r="M51" s="5">
        <v>4509.74</v>
      </c>
      <c r="N51" s="5">
        <v>3536.17</v>
      </c>
      <c r="O51" s="8">
        <f t="shared" si="4"/>
        <v>53217.729999999996</v>
      </c>
      <c r="P51" s="1">
        <f t="shared" si="5"/>
        <v>12</v>
      </c>
      <c r="Q51" s="5">
        <f t="shared" si="3"/>
        <v>4434.810833333333</v>
      </c>
    </row>
    <row r="52" spans="1:17">
      <c r="A52" s="4">
        <v>70055</v>
      </c>
      <c r="B52" s="1" t="s">
        <v>266</v>
      </c>
      <c r="C52" s="31">
        <v>6932.17</v>
      </c>
      <c r="D52" s="31">
        <v>6610.29</v>
      </c>
      <c r="E52" s="31">
        <v>6029.35</v>
      </c>
      <c r="F52" s="5">
        <v>6659.84</v>
      </c>
      <c r="G52" s="5">
        <v>4966.2700000000004</v>
      </c>
      <c r="H52" s="5">
        <v>4451.55</v>
      </c>
      <c r="I52" s="5">
        <v>3978.77</v>
      </c>
      <c r="J52" s="5">
        <v>3943.67</v>
      </c>
      <c r="K52" s="5">
        <v>4562.76</v>
      </c>
      <c r="L52" s="5">
        <v>5585.09</v>
      </c>
      <c r="M52" s="5">
        <v>6234.53</v>
      </c>
      <c r="N52" s="5">
        <v>5857.31</v>
      </c>
      <c r="O52" s="8">
        <f t="shared" si="4"/>
        <v>65811.599999999991</v>
      </c>
      <c r="P52" s="1">
        <f t="shared" si="5"/>
        <v>12</v>
      </c>
      <c r="Q52" s="5">
        <f t="shared" si="3"/>
        <v>5484.2999999999993</v>
      </c>
    </row>
    <row r="53" spans="1:17">
      <c r="A53" s="4">
        <v>7003101</v>
      </c>
      <c r="B53" s="1" t="s">
        <v>267</v>
      </c>
      <c r="C53" s="5">
        <v>1313.24</v>
      </c>
      <c r="D53" s="32">
        <v>1495.85</v>
      </c>
      <c r="E53" s="32">
        <v>1364.38</v>
      </c>
      <c r="F53" s="32">
        <v>1373.7</v>
      </c>
      <c r="G53" s="32">
        <v>974.05</v>
      </c>
      <c r="H53" s="5">
        <v>889.34</v>
      </c>
      <c r="I53" s="5">
        <v>883.71</v>
      </c>
      <c r="J53" s="5">
        <v>1062.67</v>
      </c>
      <c r="K53" s="5">
        <v>1296.05</v>
      </c>
      <c r="L53" s="5">
        <v>1326.26</v>
      </c>
      <c r="M53" s="5">
        <v>1197.25</v>
      </c>
      <c r="N53" s="5">
        <v>944.58</v>
      </c>
      <c r="O53" s="8">
        <f t="shared" si="4"/>
        <v>14121.08</v>
      </c>
      <c r="P53" s="1">
        <f t="shared" si="5"/>
        <v>12</v>
      </c>
      <c r="Q53" s="5">
        <f t="shared" si="3"/>
        <v>1176.7566666666667</v>
      </c>
    </row>
    <row r="54" spans="1:17">
      <c r="A54" s="4">
        <v>7008901</v>
      </c>
      <c r="B54" s="1" t="s">
        <v>268</v>
      </c>
      <c r="C54" s="5">
        <v>5148.24</v>
      </c>
      <c r="D54" s="32">
        <v>4482.84</v>
      </c>
      <c r="E54" s="32">
        <v>6561.48</v>
      </c>
      <c r="F54" s="32">
        <v>6155.4</v>
      </c>
      <c r="G54" s="32">
        <v>4198.0200000000004</v>
      </c>
      <c r="H54" s="31">
        <v>2035.2</v>
      </c>
      <c r="I54" s="5">
        <v>2565.84</v>
      </c>
      <c r="J54" s="5">
        <v>2094.54</v>
      </c>
      <c r="K54" s="5">
        <v>3441.96</v>
      </c>
      <c r="L54" s="5">
        <v>5619.18</v>
      </c>
      <c r="M54" s="5">
        <v>4281.18</v>
      </c>
      <c r="N54" s="5">
        <v>3975.9</v>
      </c>
      <c r="O54" s="8">
        <f t="shared" si="4"/>
        <v>50559.78</v>
      </c>
      <c r="P54" s="1">
        <f t="shared" si="5"/>
        <v>12</v>
      </c>
      <c r="Q54" s="5">
        <f t="shared" si="3"/>
        <v>4213.3149999999996</v>
      </c>
    </row>
    <row r="55" spans="1:17">
      <c r="A55" s="4">
        <v>70035</v>
      </c>
      <c r="B55" s="1" t="s">
        <v>269</v>
      </c>
      <c r="C55" s="5">
        <v>46790.54</v>
      </c>
      <c r="D55" s="5">
        <v>29980.18</v>
      </c>
      <c r="E55" s="31">
        <v>44233.1</v>
      </c>
      <c r="F55" s="32">
        <v>54802.05</v>
      </c>
      <c r="G55" s="5">
        <v>42162.49</v>
      </c>
      <c r="H55" s="5">
        <v>25734.65</v>
      </c>
      <c r="I55" s="5">
        <v>27137.55</v>
      </c>
      <c r="J55" s="5">
        <v>32498.58</v>
      </c>
      <c r="K55" s="5">
        <v>41368.04</v>
      </c>
      <c r="L55" s="5">
        <v>68291.87</v>
      </c>
      <c r="M55" s="5">
        <v>43899.26</v>
      </c>
      <c r="N55" s="5">
        <v>39236.97</v>
      </c>
      <c r="O55" s="8">
        <f t="shared" si="4"/>
        <v>496135.28</v>
      </c>
      <c r="P55" s="1">
        <f t="shared" si="5"/>
        <v>12</v>
      </c>
      <c r="Q55" s="5">
        <f t="shared" si="3"/>
        <v>41344.606666666667</v>
      </c>
    </row>
    <row r="56" spans="1:17">
      <c r="A56" s="4">
        <v>7001502</v>
      </c>
      <c r="B56" s="1" t="s">
        <v>270</v>
      </c>
      <c r="C56" s="5">
        <v>9426.43</v>
      </c>
      <c r="D56" s="32">
        <v>7581.87</v>
      </c>
      <c r="E56" s="32">
        <v>7512.44</v>
      </c>
      <c r="F56" s="32">
        <v>9456.76</v>
      </c>
      <c r="G56" s="32">
        <v>4962.95</v>
      </c>
      <c r="H56" s="5">
        <v>3838.8</v>
      </c>
      <c r="I56" s="31">
        <v>2906.8</v>
      </c>
      <c r="J56" s="5">
        <v>4058.34</v>
      </c>
      <c r="K56" s="5">
        <v>5239.1899999999996</v>
      </c>
      <c r="L56" s="31">
        <v>8811.6</v>
      </c>
      <c r="M56" s="5">
        <v>8054.52</v>
      </c>
      <c r="N56" s="31">
        <v>6095.08</v>
      </c>
      <c r="O56" s="8">
        <f t="shared" si="4"/>
        <v>77944.78</v>
      </c>
      <c r="P56" s="1">
        <f t="shared" si="5"/>
        <v>12</v>
      </c>
      <c r="Q56" s="5">
        <f t="shared" si="3"/>
        <v>6495.3983333333335</v>
      </c>
    </row>
    <row r="57" spans="1:17">
      <c r="A57" s="4">
        <v>70084</v>
      </c>
      <c r="B57" s="1" t="s">
        <v>271</v>
      </c>
      <c r="C57" s="31">
        <v>4555.1400000000003</v>
      </c>
      <c r="D57" s="31">
        <v>3704.13</v>
      </c>
      <c r="E57" s="31">
        <v>3421.69</v>
      </c>
      <c r="F57" s="5">
        <v>4435.7299999999996</v>
      </c>
      <c r="G57" s="5">
        <v>2711.99</v>
      </c>
      <c r="H57" s="5">
        <v>3112.4</v>
      </c>
      <c r="I57" s="5">
        <v>2333.3000000000002</v>
      </c>
      <c r="J57" s="5">
        <v>2744.86</v>
      </c>
      <c r="K57" s="5">
        <v>3595.06</v>
      </c>
      <c r="L57" s="5">
        <v>4819.8500000000004</v>
      </c>
      <c r="M57" s="5">
        <v>4171.53</v>
      </c>
      <c r="N57" s="5">
        <v>2943.68</v>
      </c>
      <c r="O57" s="8">
        <f t="shared" si="4"/>
        <v>42549.36</v>
      </c>
      <c r="P57" s="1">
        <f t="shared" si="5"/>
        <v>12</v>
      </c>
      <c r="Q57" s="5">
        <f t="shared" si="3"/>
        <v>3545.78</v>
      </c>
    </row>
    <row r="58" spans="1:17">
      <c r="A58" s="4">
        <v>15007129</v>
      </c>
      <c r="B58" s="1" t="s">
        <v>273</v>
      </c>
      <c r="C58" s="5"/>
      <c r="D58" s="5"/>
      <c r="E58" s="31">
        <v>5569.79</v>
      </c>
      <c r="F58" s="5">
        <v>7805.4</v>
      </c>
      <c r="G58" s="5">
        <v>5934.91</v>
      </c>
      <c r="H58" s="5">
        <v>4676.41</v>
      </c>
      <c r="I58" s="5">
        <v>4513.01</v>
      </c>
      <c r="J58" s="5">
        <v>4825.88</v>
      </c>
      <c r="K58" s="5">
        <v>6080.08</v>
      </c>
      <c r="L58" s="5">
        <v>7284.25</v>
      </c>
      <c r="M58" s="5">
        <v>6922.7</v>
      </c>
      <c r="N58" s="31">
        <v>6557.39</v>
      </c>
      <c r="O58" s="8">
        <f t="shared" si="4"/>
        <v>60169.819999999992</v>
      </c>
      <c r="P58" s="1">
        <f t="shared" si="5"/>
        <v>10</v>
      </c>
      <c r="Q58" s="5">
        <f t="shared" si="3"/>
        <v>6016.9819999999991</v>
      </c>
    </row>
    <row r="59" spans="1:17">
      <c r="A59" s="4">
        <v>15007129</v>
      </c>
      <c r="B59" s="1" t="s">
        <v>272</v>
      </c>
      <c r="C59" s="5"/>
      <c r="D59" s="5"/>
      <c r="E59" s="31">
        <v>7961.97</v>
      </c>
      <c r="F59" s="5">
        <v>9784.26</v>
      </c>
      <c r="G59" s="5">
        <v>7776.86</v>
      </c>
      <c r="H59" s="5">
        <v>5962.17</v>
      </c>
      <c r="I59" s="5">
        <v>6453.8</v>
      </c>
      <c r="J59" s="5">
        <v>7239.78</v>
      </c>
      <c r="K59" s="5">
        <v>8276.26</v>
      </c>
      <c r="L59" s="5">
        <v>9721.0400000000009</v>
      </c>
      <c r="M59" s="5">
        <v>8552.89</v>
      </c>
      <c r="N59" s="31">
        <v>8795.85</v>
      </c>
      <c r="O59" s="8">
        <f t="shared" si="4"/>
        <v>80524.88</v>
      </c>
      <c r="P59" s="1">
        <f t="shared" si="5"/>
        <v>10</v>
      </c>
      <c r="Q59" s="5">
        <f t="shared" si="3"/>
        <v>8052.4880000000003</v>
      </c>
    </row>
    <row r="60" spans="1:17">
      <c r="A60" s="4">
        <v>70038</v>
      </c>
      <c r="B60" s="1" t="s">
        <v>274</v>
      </c>
      <c r="C60" s="5">
        <v>8959.52</v>
      </c>
      <c r="D60" s="31">
        <v>8210.35</v>
      </c>
      <c r="E60" s="31">
        <v>1369.84</v>
      </c>
      <c r="F60" s="13"/>
      <c r="G60" s="3"/>
      <c r="H60" s="7"/>
      <c r="J60" s="5"/>
      <c r="K60" s="5"/>
      <c r="L60" s="5"/>
      <c r="M60" s="5"/>
      <c r="N60" s="31"/>
      <c r="O60" s="8">
        <f t="shared" si="4"/>
        <v>18539.710000000003</v>
      </c>
      <c r="P60" s="1">
        <f t="shared" si="5"/>
        <v>3</v>
      </c>
      <c r="Q60" s="5">
        <f t="shared" ref="Q60:Q78" si="6">+O60/P60</f>
        <v>6179.9033333333346</v>
      </c>
    </row>
    <row r="61" spans="1:17">
      <c r="A61" s="4">
        <v>70037</v>
      </c>
      <c r="B61" s="1" t="s">
        <v>275</v>
      </c>
      <c r="C61" s="5">
        <v>7169.12</v>
      </c>
      <c r="D61" s="31">
        <v>6794.58</v>
      </c>
      <c r="E61" s="31">
        <v>988.49</v>
      </c>
      <c r="F61" s="13"/>
      <c r="G61" s="3"/>
      <c r="H61" s="3"/>
      <c r="I61" s="5"/>
      <c r="J61" s="5"/>
      <c r="K61" s="5"/>
      <c r="L61" s="5"/>
      <c r="M61" s="5"/>
      <c r="N61" s="31"/>
      <c r="O61" s="8">
        <f t="shared" si="4"/>
        <v>14952.19</v>
      </c>
      <c r="P61" s="1">
        <f t="shared" si="5"/>
        <v>3</v>
      </c>
      <c r="Q61" s="5">
        <f t="shared" si="6"/>
        <v>4984.0633333333335</v>
      </c>
    </row>
    <row r="62" spans="1:17">
      <c r="A62" s="4">
        <v>70082</v>
      </c>
      <c r="B62" s="1" t="s">
        <v>276</v>
      </c>
      <c r="C62" s="5">
        <v>4304.46</v>
      </c>
      <c r="D62" s="5">
        <v>3704.67</v>
      </c>
      <c r="E62" s="31">
        <v>3634.21</v>
      </c>
      <c r="F62" s="5">
        <v>4360.8999999999996</v>
      </c>
      <c r="G62" s="5">
        <v>3033.78</v>
      </c>
      <c r="H62" s="31">
        <v>2557.69</v>
      </c>
      <c r="I62" s="5">
        <v>2977.21</v>
      </c>
      <c r="J62" s="31">
        <v>2996.95</v>
      </c>
      <c r="K62" s="5">
        <v>3693.68</v>
      </c>
      <c r="L62" s="5">
        <v>4155.1099999999997</v>
      </c>
      <c r="M62" s="5">
        <v>3806.01</v>
      </c>
      <c r="N62" s="31"/>
      <c r="O62" s="8">
        <f t="shared" si="4"/>
        <v>39224.67</v>
      </c>
      <c r="P62" s="1">
        <f t="shared" si="5"/>
        <v>11</v>
      </c>
      <c r="Q62" s="5">
        <f t="shared" si="6"/>
        <v>3565.8790909090908</v>
      </c>
    </row>
    <row r="63" spans="1:17">
      <c r="A63" s="4">
        <v>7004001</v>
      </c>
      <c r="B63" s="1" t="s">
        <v>277</v>
      </c>
      <c r="C63" s="5">
        <v>14505.99</v>
      </c>
      <c r="D63" s="32">
        <v>14628.2</v>
      </c>
      <c r="E63" s="49">
        <v>13861.1</v>
      </c>
      <c r="F63" s="32">
        <v>14907.18</v>
      </c>
      <c r="G63" s="32">
        <v>12596.58</v>
      </c>
      <c r="H63" s="5">
        <v>8820.5300000000007</v>
      </c>
      <c r="I63" s="5">
        <v>9091.65</v>
      </c>
      <c r="J63" s="5">
        <v>10945.14</v>
      </c>
      <c r="K63" s="5">
        <v>13189.11</v>
      </c>
      <c r="L63" s="5">
        <v>15146.53</v>
      </c>
      <c r="M63" s="5">
        <v>15715.22</v>
      </c>
      <c r="N63" s="31">
        <v>13212.66</v>
      </c>
      <c r="O63" s="8">
        <f t="shared" si="4"/>
        <v>156619.88999999998</v>
      </c>
      <c r="P63" s="1">
        <f t="shared" si="5"/>
        <v>12</v>
      </c>
      <c r="Q63" s="5">
        <f t="shared" si="6"/>
        <v>13051.657499999999</v>
      </c>
    </row>
    <row r="64" spans="1:17">
      <c r="A64" s="4">
        <v>15003405</v>
      </c>
      <c r="B64" s="1" t="s">
        <v>90</v>
      </c>
      <c r="C64" s="5">
        <v>15567.55</v>
      </c>
      <c r="D64" s="5">
        <v>16165.46</v>
      </c>
      <c r="E64" s="31">
        <v>13786.07</v>
      </c>
      <c r="F64" s="5">
        <v>16906.63</v>
      </c>
      <c r="G64" s="5">
        <v>12366.17</v>
      </c>
      <c r="H64" s="5">
        <v>9920.92</v>
      </c>
      <c r="I64" s="5">
        <v>11610.62</v>
      </c>
      <c r="J64" s="5">
        <v>12155.88</v>
      </c>
      <c r="K64" s="5">
        <v>14811.87</v>
      </c>
      <c r="L64" s="5">
        <v>17732.03</v>
      </c>
      <c r="M64" s="5">
        <v>16132</v>
      </c>
      <c r="N64" s="31">
        <v>16013.04</v>
      </c>
      <c r="O64" s="8">
        <f t="shared" si="4"/>
        <v>173168.24000000002</v>
      </c>
      <c r="P64" s="1">
        <f t="shared" si="5"/>
        <v>12</v>
      </c>
      <c r="Q64" s="5">
        <f t="shared" si="6"/>
        <v>14430.686666666668</v>
      </c>
    </row>
    <row r="65" spans="1:17">
      <c r="A65" s="4">
        <v>15005530</v>
      </c>
      <c r="B65" s="1" t="s">
        <v>278</v>
      </c>
      <c r="C65" s="5">
        <v>1685.69</v>
      </c>
      <c r="D65" s="31">
        <v>1398.2</v>
      </c>
      <c r="E65" s="31">
        <v>1722.71</v>
      </c>
      <c r="F65" s="28">
        <v>1745.92</v>
      </c>
      <c r="G65" s="5">
        <v>1221.6400000000001</v>
      </c>
      <c r="H65" s="5">
        <v>622.73</v>
      </c>
      <c r="I65" s="5">
        <v>691.1</v>
      </c>
      <c r="J65" s="5">
        <v>619.29</v>
      </c>
      <c r="K65" s="5">
        <v>951.08</v>
      </c>
      <c r="L65" s="5">
        <v>1649.67</v>
      </c>
      <c r="M65" s="5">
        <v>1115.77</v>
      </c>
      <c r="N65" s="31">
        <v>1601.67</v>
      </c>
      <c r="O65" s="8">
        <f t="shared" si="4"/>
        <v>15025.470000000003</v>
      </c>
      <c r="P65" s="1">
        <f t="shared" si="5"/>
        <v>12</v>
      </c>
      <c r="Q65" s="5">
        <f t="shared" si="6"/>
        <v>1252.1225000000002</v>
      </c>
    </row>
    <row r="66" spans="1:17">
      <c r="A66" s="4">
        <v>70068</v>
      </c>
      <c r="B66" s="1" t="s">
        <v>279</v>
      </c>
      <c r="C66" s="31">
        <v>182.82</v>
      </c>
      <c r="D66" s="31">
        <v>132.6</v>
      </c>
      <c r="E66" s="35"/>
      <c r="F66" s="35"/>
      <c r="G66" s="5"/>
      <c r="H66" s="5"/>
      <c r="I66" s="5"/>
      <c r="J66" s="5"/>
      <c r="K66" s="5"/>
      <c r="L66" s="5"/>
      <c r="M66" s="5"/>
      <c r="N66" s="31"/>
      <c r="O66" s="8">
        <f t="shared" ref="O66:O78" si="7">+SUM(C66:N66)</f>
        <v>315.41999999999996</v>
      </c>
      <c r="P66" s="1">
        <f t="shared" ref="P66:P78" si="8">COUNT(C66:N66)</f>
        <v>2</v>
      </c>
      <c r="Q66" s="5">
        <f t="shared" si="6"/>
        <v>157.70999999999998</v>
      </c>
    </row>
    <row r="67" spans="1:17">
      <c r="A67" s="42">
        <v>70080</v>
      </c>
      <c r="B67" s="11" t="s">
        <v>280</v>
      </c>
      <c r="C67" s="5">
        <v>5060.1899999999996</v>
      </c>
      <c r="D67" s="5">
        <v>3784.6</v>
      </c>
      <c r="E67" s="31">
        <v>3805.02</v>
      </c>
      <c r="F67" s="31">
        <v>5472.78</v>
      </c>
      <c r="G67" s="5">
        <v>3969.79</v>
      </c>
      <c r="H67" s="5">
        <v>2521.4299999999998</v>
      </c>
      <c r="I67" s="5">
        <v>2292.9</v>
      </c>
      <c r="J67" s="5">
        <v>2203.1799999999998</v>
      </c>
      <c r="K67" s="5">
        <v>3389.07</v>
      </c>
      <c r="L67" s="5">
        <v>6012.24</v>
      </c>
      <c r="M67" s="5">
        <v>4936.63</v>
      </c>
      <c r="N67" s="31">
        <v>4244.83</v>
      </c>
      <c r="O67" s="8">
        <f t="shared" si="7"/>
        <v>47692.66</v>
      </c>
      <c r="P67" s="1">
        <f t="shared" si="8"/>
        <v>12</v>
      </c>
      <c r="Q67" s="5">
        <f t="shared" si="6"/>
        <v>3974.3883333333338</v>
      </c>
    </row>
    <row r="68" spans="1:17">
      <c r="A68" s="4">
        <v>70046</v>
      </c>
      <c r="B68" s="1" t="s">
        <v>281</v>
      </c>
      <c r="C68" s="5">
        <v>912.66</v>
      </c>
      <c r="D68" s="5">
        <v>961.44</v>
      </c>
      <c r="E68" s="5">
        <v>807.3</v>
      </c>
      <c r="F68" s="28">
        <v>851.82</v>
      </c>
      <c r="G68" s="5">
        <v>812.46</v>
      </c>
      <c r="H68" s="5">
        <v>777.72</v>
      </c>
      <c r="I68" s="5">
        <v>734.76</v>
      </c>
      <c r="J68" s="5">
        <v>750.18</v>
      </c>
      <c r="K68" s="35">
        <v>698.28</v>
      </c>
      <c r="L68" s="5">
        <v>745.68</v>
      </c>
      <c r="M68" s="5">
        <v>800.94</v>
      </c>
      <c r="N68" s="31">
        <v>617.94000000000005</v>
      </c>
      <c r="O68" s="8">
        <f t="shared" si="7"/>
        <v>9471.1800000000021</v>
      </c>
      <c r="P68" s="1">
        <f t="shared" si="8"/>
        <v>12</v>
      </c>
      <c r="Q68" s="5">
        <f t="shared" si="6"/>
        <v>789.26500000000021</v>
      </c>
    </row>
    <row r="69" spans="1:17">
      <c r="A69" s="4">
        <v>15003403</v>
      </c>
      <c r="B69" s="1" t="s">
        <v>91</v>
      </c>
      <c r="C69" s="5">
        <v>16856.13</v>
      </c>
      <c r="D69" s="32">
        <v>16076.23</v>
      </c>
      <c r="E69" s="32">
        <v>15929.3</v>
      </c>
      <c r="F69" s="32">
        <v>19614.439999999999</v>
      </c>
      <c r="G69" s="32">
        <v>13995.64</v>
      </c>
      <c r="H69" s="5">
        <v>8704.9500000000007</v>
      </c>
      <c r="I69" s="5">
        <v>11811.06</v>
      </c>
      <c r="J69" s="5">
        <v>12792.51</v>
      </c>
      <c r="K69" s="5">
        <v>16494.599999999999</v>
      </c>
      <c r="L69" s="5">
        <v>20633.29</v>
      </c>
      <c r="M69" s="5">
        <v>15624.9</v>
      </c>
      <c r="N69" s="31">
        <v>14625.75</v>
      </c>
      <c r="O69" s="8">
        <f t="shared" si="7"/>
        <v>183158.8</v>
      </c>
      <c r="P69" s="1">
        <f t="shared" si="8"/>
        <v>12</v>
      </c>
      <c r="Q69" s="5">
        <f t="shared" si="6"/>
        <v>15263.233333333332</v>
      </c>
    </row>
    <row r="70" spans="1:17">
      <c r="A70" s="4">
        <v>70054</v>
      </c>
      <c r="B70" s="1" t="s">
        <v>282</v>
      </c>
      <c r="C70" s="5">
        <v>10874.76</v>
      </c>
      <c r="D70" s="5">
        <v>7458.57</v>
      </c>
      <c r="E70" s="31">
        <v>13265.28</v>
      </c>
      <c r="F70" s="5">
        <v>13189.62</v>
      </c>
      <c r="G70" s="5">
        <v>9137.94</v>
      </c>
      <c r="H70" s="32">
        <v>3073.38</v>
      </c>
      <c r="I70" s="5">
        <v>3130.02</v>
      </c>
      <c r="J70" s="5">
        <v>3313.84</v>
      </c>
      <c r="K70" s="5">
        <v>5022.2700000000004</v>
      </c>
      <c r="L70" s="5">
        <v>9405.7099999999991</v>
      </c>
      <c r="M70" s="5">
        <v>4903.0200000000004</v>
      </c>
      <c r="N70" s="31">
        <v>4537.3900000000003</v>
      </c>
      <c r="O70" s="8">
        <f t="shared" si="7"/>
        <v>87311.800000000017</v>
      </c>
      <c r="P70" s="1">
        <f t="shared" si="8"/>
        <v>12</v>
      </c>
      <c r="Q70" s="5">
        <f t="shared" si="6"/>
        <v>7275.9833333333345</v>
      </c>
    </row>
    <row r="71" spans="1:17">
      <c r="A71" s="4">
        <v>70048</v>
      </c>
      <c r="B71" s="1" t="s">
        <v>283</v>
      </c>
      <c r="C71" s="5">
        <v>3397.34</v>
      </c>
      <c r="D71" s="5">
        <v>2159.7199999999998</v>
      </c>
      <c r="E71" s="32">
        <v>3049.98</v>
      </c>
      <c r="F71" s="28">
        <v>3061.13</v>
      </c>
      <c r="G71" s="5">
        <v>1885.83</v>
      </c>
      <c r="H71" s="5">
        <v>1724.63</v>
      </c>
      <c r="I71" s="5">
        <v>2742.12</v>
      </c>
      <c r="J71" s="5">
        <v>2329.12</v>
      </c>
      <c r="K71" s="5">
        <v>3012.63</v>
      </c>
      <c r="L71" s="5">
        <v>3149.07</v>
      </c>
      <c r="M71" s="5">
        <v>2830.5</v>
      </c>
      <c r="N71" s="31">
        <v>2851.15</v>
      </c>
      <c r="O71" s="8">
        <f t="shared" si="7"/>
        <v>32193.219999999998</v>
      </c>
      <c r="P71" s="1">
        <f t="shared" si="8"/>
        <v>12</v>
      </c>
      <c r="Q71" s="5">
        <f t="shared" si="6"/>
        <v>2682.768333333333</v>
      </c>
    </row>
    <row r="72" spans="1:17">
      <c r="A72" s="4">
        <v>70052</v>
      </c>
      <c r="B72" s="1" t="s">
        <v>284</v>
      </c>
      <c r="C72" s="5">
        <v>4992.38</v>
      </c>
      <c r="D72" s="5">
        <v>4512.82</v>
      </c>
      <c r="E72" s="31">
        <v>4999.8599999999997</v>
      </c>
      <c r="F72" s="5">
        <v>4939.95</v>
      </c>
      <c r="G72" s="5">
        <v>3850.68</v>
      </c>
      <c r="H72" s="5">
        <v>3242.23</v>
      </c>
      <c r="I72" s="5">
        <v>4186.09</v>
      </c>
      <c r="J72" s="5">
        <v>3377.91</v>
      </c>
      <c r="K72" s="5">
        <v>4283.79</v>
      </c>
      <c r="L72" s="5">
        <v>4827.42</v>
      </c>
      <c r="M72" s="5">
        <v>3835.69</v>
      </c>
      <c r="N72" s="31">
        <v>3532.41</v>
      </c>
      <c r="O72" s="8">
        <f t="shared" si="7"/>
        <v>50581.229999999996</v>
      </c>
      <c r="P72" s="1">
        <f t="shared" si="8"/>
        <v>12</v>
      </c>
      <c r="Q72" s="5">
        <f t="shared" si="6"/>
        <v>4215.1025</v>
      </c>
    </row>
    <row r="73" spans="1:17">
      <c r="A73" s="4">
        <v>70049</v>
      </c>
      <c r="B73" s="1" t="s">
        <v>285</v>
      </c>
      <c r="C73" s="5">
        <v>425.57</v>
      </c>
      <c r="D73" s="31">
        <v>474.91</v>
      </c>
      <c r="E73" s="5">
        <v>407.41</v>
      </c>
      <c r="F73" s="32">
        <v>478.39</v>
      </c>
      <c r="G73" s="5">
        <v>300</v>
      </c>
      <c r="H73" s="5">
        <v>340.98</v>
      </c>
      <c r="I73" s="5">
        <v>223.93</v>
      </c>
      <c r="J73" s="5">
        <v>349.55</v>
      </c>
      <c r="K73" s="5">
        <v>168.21</v>
      </c>
      <c r="L73" s="5">
        <v>365.89</v>
      </c>
      <c r="M73" s="5">
        <v>412.5</v>
      </c>
      <c r="N73" s="31">
        <v>308.57</v>
      </c>
      <c r="O73" s="8">
        <f t="shared" si="7"/>
        <v>4255.91</v>
      </c>
      <c r="P73" s="1">
        <f t="shared" si="8"/>
        <v>12</v>
      </c>
      <c r="Q73" s="5">
        <f t="shared" si="6"/>
        <v>354.65916666666664</v>
      </c>
    </row>
    <row r="74" spans="1:17">
      <c r="A74" s="4">
        <v>70071</v>
      </c>
      <c r="B74" s="1" t="s">
        <v>286</v>
      </c>
      <c r="C74" s="5">
        <v>477.66</v>
      </c>
      <c r="D74" s="5">
        <v>336.9</v>
      </c>
      <c r="E74" s="5">
        <v>702.3</v>
      </c>
      <c r="F74" s="5">
        <v>955.74</v>
      </c>
      <c r="G74" s="5">
        <v>219.78</v>
      </c>
      <c r="H74" s="31">
        <v>54.18</v>
      </c>
      <c r="I74" s="5">
        <v>145.32</v>
      </c>
      <c r="J74" s="5">
        <v>106.5</v>
      </c>
      <c r="K74" s="5">
        <v>317.04000000000002</v>
      </c>
      <c r="L74" s="5">
        <v>864.21</v>
      </c>
      <c r="M74" s="5">
        <v>681.72</v>
      </c>
      <c r="N74" s="31">
        <v>385.74</v>
      </c>
      <c r="O74" s="8">
        <f t="shared" si="7"/>
        <v>5247.09</v>
      </c>
      <c r="P74" s="1">
        <f t="shared" si="8"/>
        <v>12</v>
      </c>
      <c r="Q74" s="5">
        <f t="shared" si="6"/>
        <v>437.25749999999999</v>
      </c>
    </row>
    <row r="75" spans="1:17">
      <c r="A75" s="4">
        <v>70098</v>
      </c>
      <c r="B75" s="1" t="s">
        <v>113</v>
      </c>
      <c r="C75" s="5">
        <v>247.5</v>
      </c>
      <c r="D75" s="5">
        <v>186.64</v>
      </c>
      <c r="E75" s="5">
        <v>65.14</v>
      </c>
      <c r="F75" s="5">
        <v>207.64</v>
      </c>
      <c r="G75" s="5">
        <v>54</v>
      </c>
      <c r="H75" s="5">
        <v>0</v>
      </c>
      <c r="I75" s="5">
        <v>0</v>
      </c>
      <c r="J75" s="5">
        <v>27</v>
      </c>
      <c r="K75" s="5">
        <v>78</v>
      </c>
      <c r="L75" s="5">
        <v>241.8</v>
      </c>
      <c r="M75" s="5">
        <v>108</v>
      </c>
      <c r="N75" s="31">
        <v>281.57</v>
      </c>
      <c r="O75" s="8">
        <f t="shared" si="7"/>
        <v>1497.29</v>
      </c>
      <c r="P75" s="1">
        <f t="shared" si="8"/>
        <v>12</v>
      </c>
      <c r="Q75" s="5">
        <f t="shared" si="6"/>
        <v>124.77416666666666</v>
      </c>
    </row>
    <row r="76" spans="1:17">
      <c r="A76" s="4">
        <v>70001</v>
      </c>
      <c r="B76" s="1" t="s">
        <v>287</v>
      </c>
      <c r="C76" s="31">
        <v>32854.239999999998</v>
      </c>
      <c r="D76" s="31">
        <v>25742.16</v>
      </c>
      <c r="E76" s="31">
        <v>35644.57</v>
      </c>
      <c r="F76" s="31">
        <v>46869.46</v>
      </c>
      <c r="G76" s="31">
        <v>29251</v>
      </c>
      <c r="H76" s="31">
        <v>17181.3</v>
      </c>
      <c r="I76" s="31">
        <v>18636.580000000002</v>
      </c>
      <c r="J76" s="31">
        <v>13036.69</v>
      </c>
      <c r="K76" s="31">
        <v>13952.87</v>
      </c>
      <c r="L76" s="31">
        <v>38579.69</v>
      </c>
      <c r="M76" s="31">
        <v>24316.46</v>
      </c>
      <c r="N76" s="31">
        <v>23469.25</v>
      </c>
      <c r="O76" s="8">
        <f t="shared" si="7"/>
        <v>319534.27</v>
      </c>
      <c r="P76" s="1">
        <f t="shared" si="8"/>
        <v>12</v>
      </c>
      <c r="Q76" s="5">
        <f t="shared" si="6"/>
        <v>26627.855833333335</v>
      </c>
    </row>
    <row r="77" spans="1:17">
      <c r="A77" s="42">
        <v>7007701</v>
      </c>
      <c r="B77" s="11" t="s">
        <v>98</v>
      </c>
      <c r="C77" s="5">
        <v>7434.2</v>
      </c>
      <c r="D77" s="32">
        <v>6466.81</v>
      </c>
      <c r="E77" s="32">
        <v>7333.61</v>
      </c>
      <c r="F77" s="32">
        <v>9441.89</v>
      </c>
      <c r="G77" s="32">
        <v>6897.77</v>
      </c>
      <c r="H77" s="5">
        <v>3815.75</v>
      </c>
      <c r="I77" s="5">
        <v>4752.41</v>
      </c>
      <c r="J77" s="5">
        <v>5261.86</v>
      </c>
      <c r="K77" s="5">
        <v>7360.45</v>
      </c>
      <c r="L77" s="5">
        <v>9099.32</v>
      </c>
      <c r="M77" s="5">
        <v>7449.62</v>
      </c>
      <c r="N77" s="31">
        <v>6540.76</v>
      </c>
      <c r="O77" s="8">
        <f t="shared" si="7"/>
        <v>81854.45</v>
      </c>
      <c r="P77" s="1">
        <f t="shared" si="8"/>
        <v>12</v>
      </c>
      <c r="Q77" s="5">
        <f t="shared" si="6"/>
        <v>6821.2041666666664</v>
      </c>
    </row>
    <row r="78" spans="1:17">
      <c r="A78" s="51">
        <v>70094</v>
      </c>
      <c r="B78" s="52" t="s">
        <v>95</v>
      </c>
      <c r="C78" s="25">
        <v>156.12</v>
      </c>
      <c r="D78" s="25">
        <v>286.26</v>
      </c>
      <c r="E78" s="34">
        <v>978.54</v>
      </c>
      <c r="F78" s="34">
        <v>483.48</v>
      </c>
      <c r="G78" s="25">
        <v>574.62</v>
      </c>
      <c r="H78" s="34">
        <v>121.98</v>
      </c>
      <c r="I78" s="34">
        <v>357.13</v>
      </c>
      <c r="J78" s="34">
        <v>134.94</v>
      </c>
      <c r="K78" s="25">
        <v>255.36</v>
      </c>
      <c r="L78" s="25">
        <v>260.27999999999997</v>
      </c>
      <c r="M78" s="25">
        <v>138.54</v>
      </c>
      <c r="N78" s="25">
        <v>371.94</v>
      </c>
      <c r="O78" s="33">
        <f t="shared" si="7"/>
        <v>4119.1899999999996</v>
      </c>
      <c r="P78" s="22">
        <f t="shared" si="8"/>
        <v>12</v>
      </c>
      <c r="Q78" s="25">
        <f t="shared" si="6"/>
        <v>343.26583333333332</v>
      </c>
    </row>
    <row r="79" spans="1:17">
      <c r="C79" s="5"/>
      <c r="D79" s="5"/>
      <c r="E79" s="5"/>
      <c r="F79" s="5"/>
      <c r="G79" s="5"/>
      <c r="H79" s="5"/>
      <c r="I79" s="5"/>
    </row>
    <row r="80" spans="1:17">
      <c r="B80" s="1" t="s">
        <v>140</v>
      </c>
      <c r="C80" s="5">
        <f>SUM(C2:C78)</f>
        <v>691556.33199999994</v>
      </c>
      <c r="D80" s="5">
        <f t="shared" ref="D80:O80" si="9">SUM(D2:D78)</f>
        <v>621708.16999999981</v>
      </c>
      <c r="E80" s="5">
        <f t="shared" si="9"/>
        <v>762883.48999999976</v>
      </c>
      <c r="F80" s="5">
        <f t="shared" si="9"/>
        <v>841429.63000000012</v>
      </c>
      <c r="G80" s="5">
        <f t="shared" si="9"/>
        <v>598685.88</v>
      </c>
      <c r="H80" s="5">
        <f t="shared" si="9"/>
        <v>385611.36999999994</v>
      </c>
      <c r="I80" s="5">
        <f t="shared" si="9"/>
        <v>416408.16000000009</v>
      </c>
      <c r="J80" s="5">
        <f t="shared" si="9"/>
        <v>461886.19</v>
      </c>
      <c r="K80" s="5">
        <f t="shared" si="9"/>
        <v>599295.36999999988</v>
      </c>
      <c r="L80" s="5">
        <f t="shared" si="9"/>
        <v>812087.52000000014</v>
      </c>
      <c r="M80" s="5">
        <f t="shared" si="9"/>
        <v>715108.68</v>
      </c>
      <c r="N80" s="5">
        <f t="shared" si="9"/>
        <v>636833.55999999994</v>
      </c>
      <c r="O80" s="5">
        <f t="shared" si="9"/>
        <v>7543494.3520000018</v>
      </c>
      <c r="Q80" s="5">
        <f>+O80/10</f>
        <v>754349.43520000018</v>
      </c>
    </row>
  </sheetData>
  <phoneticPr fontId="3" type="noConversion"/>
  <printOptions horizontalCentered="1"/>
  <pageMargins left="0.25" right="0.25" top="1" bottom="0.75" header="0.5" footer="0.5"/>
  <pageSetup scale="71" fitToHeight="2" orientation="landscape" r:id="rId1"/>
  <headerFooter alignWithMargins="0">
    <oddHeader>&amp;C&amp;"Arial,Bold"&amp;22Occupancy Tax Receipts
Fiscal Year 2008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a3a878-c630-450d-8d8b-a6aac38ed6ec">
      <Terms xmlns="http://schemas.microsoft.com/office/infopath/2007/PartnerControls"/>
    </lcf76f155ced4ddcb4097134ff3c332f>
    <TaxCatchAll xmlns="33148d65-3e15-42e9-a6da-3c1f28d815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5791F4D25F854A8F69D7FC6C6D3027" ma:contentTypeVersion="17" ma:contentTypeDescription="Create a new document." ma:contentTypeScope="" ma:versionID="c9c8bce6fc298d21eaf09bbaa2f8fa06">
  <xsd:schema xmlns:xsd="http://www.w3.org/2001/XMLSchema" xmlns:xs="http://www.w3.org/2001/XMLSchema" xmlns:p="http://schemas.microsoft.com/office/2006/metadata/properties" xmlns:ns2="8da3a878-c630-450d-8d8b-a6aac38ed6ec" xmlns:ns3="33148d65-3e15-42e9-a6da-3c1f28d8155c" targetNamespace="http://schemas.microsoft.com/office/2006/metadata/properties" ma:root="true" ma:fieldsID="480a4c992cf2fb3a432c489f0918ca7f" ns2:_="" ns3:_="">
    <xsd:import namespace="8da3a878-c630-450d-8d8b-a6aac38ed6ec"/>
    <xsd:import namespace="33148d65-3e15-42e9-a6da-3c1f28d815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3a878-c630-450d-8d8b-a6aac38ed6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d8f420d-928e-488c-b528-6953f0e898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48d65-3e15-42e9-a6da-3c1f28d8155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2cdf198-b438-48d0-863c-970e278bf4fd}" ma:internalName="TaxCatchAll" ma:showField="CatchAllData" ma:web="33148d65-3e15-42e9-a6da-3c1f28d815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7CBEED-C4D6-4CBF-BF2E-3AF66A057B6A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33148d65-3e15-42e9-a6da-3c1f28d8155c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8da3a878-c630-450d-8d8b-a6aac38ed6e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B93A1EE-7F6D-4EA7-B8DF-4A61A42D7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a3a878-c630-450d-8d8b-a6aac38ed6ec"/>
    <ds:schemaRef ds:uri="33148d65-3e15-42e9-a6da-3c1f28d815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B41955-455B-456E-93A2-057E72D89A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20</vt:i4>
      </vt:variant>
    </vt:vector>
  </HeadingPairs>
  <TitlesOfParts>
    <vt:vector size="47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History By Year</vt:lpstr>
      <vt:lpstr>Sheet1</vt:lpstr>
      <vt:lpstr>'2007'!Print_Area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'History By Year'!Print_Titles</vt:lpstr>
    </vt:vector>
  </TitlesOfParts>
  <Company>LFUCG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Mays</dc:creator>
  <cp:lastModifiedBy>Sean Balog</cp:lastModifiedBy>
  <cp:lastPrinted>2024-04-05T19:55:12Z</cp:lastPrinted>
  <dcterms:created xsi:type="dcterms:W3CDTF">1999-06-14T13:13:35Z</dcterms:created>
  <dcterms:modified xsi:type="dcterms:W3CDTF">2024-07-17T19:09:01Z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0x0101003B5791F4D25F854A8F69D7FC6C6D3027</vt:lpwstr>
  </property>
  <property fmtid="{D5CDD505-2E9C-101B-9397-08002B2CF9AE}" pid="3" name="Order">
    <vt:r8>18800</vt:r8>
  </property>
  <property fmtid="{D5CDD505-2E9C-101B-9397-08002B2CF9AE}" pid="4" name="MediaServiceImageTags">
    <vt:lpwstr/>
  </property>
</Properties>
</file>