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\Dropbox\data-science-bootcamp\UCSD-VIRT-DATA-PT-11-2022-U-B\Crowdfunding Analysis\"/>
    </mc:Choice>
  </mc:AlternateContent>
  <xr:revisionPtr revIDLastSave="0" documentId="13_ncr:1_{14C726F3-AB9C-4218-BCFD-CA37851DF330}" xr6:coauthVersionLast="47" xr6:coauthVersionMax="47" xr10:uidLastSave="{00000000-0000-0000-0000-000000000000}"/>
  <bookViews>
    <workbookView xWindow="-120" yWindow="-120" windowWidth="51840" windowHeight="2124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Outcomes Based on Launch Date" sheetId="4" r:id="rId4"/>
    <sheet name="Edinburgh Research" sheetId="5" r:id="rId5"/>
    <sheet name="Category Statistics" sheetId="2" r:id="rId6"/>
    <sheet name="Subcategory Statistics" sheetId="3" r:id="rId7"/>
    <sheet name="Successful US Kickstarters" sheetId="6" r:id="rId8"/>
    <sheet name="Failed US Kickstarters" sheetId="7" r:id="rId9"/>
    <sheet name="Descriptive Statistics" sheetId="8" r:id="rId10"/>
    <sheet name="GB Musicals Box Plot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11" l="1"/>
  <c r="AG4" i="11"/>
  <c r="AG5" i="11"/>
  <c r="AG6" i="11"/>
  <c r="AG7" i="11"/>
  <c r="AG8" i="11"/>
  <c r="AG9" i="11"/>
  <c r="AG10" i="11"/>
  <c r="AG11" i="11"/>
  <c r="AG12" i="11"/>
  <c r="AG13" i="11"/>
  <c r="AG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E8" i="11" s="1"/>
  <c r="B7" i="11"/>
  <c r="B6" i="11"/>
  <c r="B5" i="11"/>
  <c r="E5" i="11" s="1"/>
  <c r="B4" i="11"/>
  <c r="B3" i="11"/>
  <c r="B13" i="11"/>
  <c r="C2" i="11"/>
  <c r="B2" i="11"/>
  <c r="C13" i="8"/>
  <c r="C12" i="8"/>
  <c r="C11" i="8"/>
  <c r="B13" i="8"/>
  <c r="B12" i="8"/>
  <c r="B11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Z17" i="10"/>
  <c r="Z16" i="10"/>
  <c r="Z15" i="10"/>
  <c r="Z14" i="10"/>
  <c r="Z13" i="10"/>
  <c r="Z12" i="10"/>
  <c r="Z11" i="10"/>
  <c r="Z10" i="10"/>
  <c r="Z9" i="10"/>
  <c r="Z8" i="10"/>
  <c r="Z7" i="10"/>
  <c r="Z6" i="10"/>
  <c r="E4" i="11" l="1"/>
  <c r="G4" i="11" s="1"/>
  <c r="E9" i="11"/>
  <c r="H9" i="11" s="1"/>
  <c r="E6" i="11"/>
  <c r="G6" i="11" s="1"/>
  <c r="E7" i="11"/>
  <c r="G7" i="11" s="1"/>
  <c r="E10" i="11"/>
  <c r="F10" i="11" s="1"/>
  <c r="G5" i="11"/>
  <c r="E3" i="11"/>
  <c r="G3" i="11" s="1"/>
  <c r="H3" i="11"/>
  <c r="H5" i="11"/>
  <c r="H8" i="11"/>
  <c r="G8" i="11"/>
  <c r="E2" i="11"/>
  <c r="H2" i="11" s="1"/>
  <c r="E13" i="11"/>
  <c r="G13" i="11" s="1"/>
  <c r="E12" i="11"/>
  <c r="H12" i="11" s="1"/>
  <c r="F8" i="11"/>
  <c r="E11" i="11"/>
  <c r="F11" i="11" s="1"/>
  <c r="F5" i="11"/>
  <c r="C14" i="8"/>
  <c r="B14" i="8"/>
  <c r="C7" i="8"/>
  <c r="F9" i="11" l="1"/>
  <c r="H4" i="11"/>
  <c r="G9" i="11"/>
  <c r="F4" i="11"/>
  <c r="F2" i="11"/>
  <c r="H7" i="11"/>
  <c r="G10" i="11"/>
  <c r="G12" i="11"/>
  <c r="H10" i="11"/>
  <c r="F6" i="11"/>
  <c r="F7" i="11"/>
  <c r="H11" i="11"/>
  <c r="H6" i="11"/>
  <c r="G2" i="11"/>
  <c r="G11" i="11"/>
  <c r="F3" i="11"/>
  <c r="F12" i="11"/>
  <c r="H13" i="11"/>
  <c r="F13" i="11"/>
</calcChain>
</file>

<file path=xl/sharedStrings.xml><?xml version="1.0" encoding="utf-8"?>
<sst xmlns="http://schemas.openxmlformats.org/spreadsheetml/2006/main" count="38400" uniqueCount="8418">
  <si>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</si>
  <si>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</si>
  <si>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</si>
  <si>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</si>
  <si>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</si>
  <si>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</si>
  <si>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</si>
  <si>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</si>
  <si>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</si>
  <si>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</si>
  <si>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</si>
  <si>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</si>
  <si>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</si>
  <si>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</si>
  <si>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</si>
  <si>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</si>
  <si>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</si>
  <si>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</si>
  <si>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</si>
  <si>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</si>
  <si>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</si>
  <si>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</si>
  <si>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</si>
  <si>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</si>
  <si>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</si>
  <si>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</si>
  <si>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</si>
  <si>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</si>
  <si>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</si>
  <si>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</si>
  <si>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</si>
  <si>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</si>
  <si>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</si>
  <si>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</si>
  <si>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</si>
  <si>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</si>
  <si>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</si>
  <si>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</si>
  <si>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</si>
  <si>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</si>
  <si>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</si>
  <si>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</si>
  <si>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</si>
  <si>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</si>
  <si>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</si>
  <si>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</si>
  <si>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</si>
  <si>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</si>
  <si>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</si>
  <si>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</si>
  <si>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</si>
  <si>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</si>
  <si>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</si>
  <si>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</si>
  <si>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</si>
  <si>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</si>
  <si>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</si>
  <si>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</si>
  <si>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</si>
  <si>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</si>
  <si>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</si>
  <si>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</si>
  <si>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</si>
  <si>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</si>
  <si>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</si>
  <si>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</si>
  <si>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</si>
  <si>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</si>
  <si>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</si>
  <si>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</si>
  <si>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</si>
  <si>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</si>
  <si>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</si>
  <si>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</si>
  <si>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</si>
  <si>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</si>
  <si>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</si>
  <si>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</si>
  <si>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</si>
  <si>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</si>
  <si>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</si>
  <si>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</si>
  <si>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</si>
  <si>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</si>
  <si>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</si>
  <si>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</si>
  <si>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</si>
  <si>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</si>
  <si>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</si>
  <si>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</si>
  <si>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</si>
  <si>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</si>
  <si>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</si>
  <si>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</si>
  <si>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</si>
  <si>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</si>
  <si>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</si>
  <si>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</si>
  <si>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</si>
  <si>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</si>
  <si>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</si>
  <si>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</si>
  <si>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</si>
  <si>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</si>
  <si>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</si>
  <si>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</si>
  <si>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</si>
  <si>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</si>
  <si>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</si>
  <si>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</si>
  <si>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</si>
  <si>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</si>
  <si>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</si>
  <si>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</si>
  <si>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</si>
  <si>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</si>
  <si>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</si>
  <si>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</si>
  <si>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</si>
  <si>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</si>
  <si>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</si>
  <si>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</si>
  <si>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</si>
  <si>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</si>
  <si>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</si>
  <si>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</si>
  <si>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</si>
  <si>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</si>
  <si>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</si>
  <si>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</si>
  <si>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</si>
  <si>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</si>
  <si>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</si>
  <si>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</si>
  <si>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</si>
  <si>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</si>
  <si>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</si>
  <si>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</si>
  <si>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</si>
  <si>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</si>
  <si>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</si>
  <si>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</si>
  <si>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</si>
  <si>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</si>
  <si>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</si>
  <si>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</si>
  <si>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</si>
  <si>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</si>
  <si>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</si>
  <si>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</si>
  <si>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</si>
  <si>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</si>
  <si>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</si>
  <si>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</si>
  <si>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</si>
  <si>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</si>
  <si>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</si>
  <si>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</si>
  <si>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</si>
  <si>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</si>
  <si>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</si>
  <si>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</si>
  <si>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</si>
  <si>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</si>
  <si>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</si>
  <si>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</si>
  <si>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</si>
  <si>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</si>
  <si>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</si>
  <si>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</si>
  <si>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</si>
  <si>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</si>
  <si>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</si>
  <si>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</si>
  <si>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</si>
  <si>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</si>
  <si>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</si>
  <si>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</si>
  <si>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</si>
  <si>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</si>
  <si>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</si>
  <si>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</si>
  <si>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</si>
  <si>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</si>
  <si>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</si>
  <si>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</si>
  <si>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</si>
  <si>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</si>
  <si>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</si>
  <si>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</si>
  <si>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</si>
  <si>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</si>
  <si>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</si>
  <si>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</si>
  <si>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</si>
  <si>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</si>
  <si>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</si>
  <si>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</si>
  <si>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</si>
  <si>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</si>
  <si>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</si>
  <si>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</si>
  <si>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</si>
  <si>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</si>
  <si>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</si>
  <si>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</si>
  <si>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</si>
  <si>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</si>
  <si>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</si>
  <si>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</si>
  <si>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</si>
  <si>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</si>
  <si>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</si>
  <si>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</si>
  <si>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</si>
  <si>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</si>
  <si>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</si>
  <si>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</si>
  <si>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</si>
  <si>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</si>
  <si>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</si>
  <si>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</si>
  <si>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</si>
  <si>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</si>
  <si>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</si>
  <si>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</si>
  <si>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</si>
  <si>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</si>
  <si>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</si>
  <si>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</si>
  <si>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</si>
  <si>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</si>
  <si>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</si>
  <si>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</si>
  <si>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</si>
  <si>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</si>
  <si>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</si>
  <si>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</si>
  <si>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</si>
  <si>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</si>
  <si>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</si>
  <si>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</si>
  <si>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</si>
  <si>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</si>
  <si>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</si>
  <si>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</si>
  <si>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</si>
  <si>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</si>
  <si>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</si>
  <si>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</si>
  <si>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</si>
  <si>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</si>
  <si>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</si>
  <si>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</si>
  <si>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</si>
  <si>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</si>
  <si>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</si>
  <si>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</si>
  <si>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</si>
  <si>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</si>
  <si>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</si>
  <si>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</si>
  <si>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</si>
  <si>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</si>
  <si>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</si>
  <si>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</si>
  <si>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</si>
  <si>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</si>
  <si>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</si>
  <si>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</si>
  <si>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</si>
  <si>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</si>
  <si>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</si>
  <si>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</si>
  <si>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</si>
  <si>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</si>
  <si>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</si>
  <si>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</si>
  <si>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</si>
  <si>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</si>
  <si>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</si>
  <si>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</si>
  <si>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</si>
  <si>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</si>
  <si>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</si>
  <si>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</si>
  <si>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</si>
  <si>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</si>
  <si>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</si>
  <si>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</si>
  <si>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</si>
  <si>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</si>
  <si>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</si>
  <si>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</si>
  <si>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</si>
  <si>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</si>
  <si>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</si>
  <si>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</si>
  <si>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</si>
  <si>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</si>
  <si>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</si>
  <si>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</si>
  <si>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</si>
  <si>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</si>
  <si>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</si>
  <si>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</si>
  <si>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</si>
  <si>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</si>
  <si>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</si>
  <si>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</si>
  <si>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</si>
  <si>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</si>
  <si>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</si>
  <si>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</si>
  <si>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</si>
  <si>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</si>
  <si>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</si>
  <si>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</si>
  <si>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</si>
  <si>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</si>
  <si>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</si>
  <si>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</si>
  <si>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</si>
  <si>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</si>
  <si>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</si>
  <si>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</si>
  <si>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</si>
  <si>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</si>
  <si>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</si>
  <si>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</si>
  <si>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</si>
  <si>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</si>
  <si>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</si>
  <si>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</si>
  <si>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</si>
  <si>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</si>
  <si>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</si>
  <si>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</si>
  <si>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</si>
  <si>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</si>
  <si>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</si>
  <si>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</si>
  <si>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</si>
  <si>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</si>
  <si>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</si>
  <si>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</si>
  <si>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</si>
  <si>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</si>
  <si>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</si>
  <si>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</si>
  <si>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</si>
  <si>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</si>
  <si>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</si>
  <si>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</si>
  <si>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</si>
  <si>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</si>
  <si>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</si>
  <si>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</si>
  <si>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</si>
  <si>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</si>
  <si>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</si>
  <si>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</si>
  <si>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</si>
  <si>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</si>
  <si>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</si>
  <si>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</si>
  <si>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</si>
  <si>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</si>
  <si>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</si>
  <si>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</si>
  <si>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</si>
  <si>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</si>
  <si>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</si>
  <si>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</si>
  <si>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</si>
  <si>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</si>
  <si>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</si>
  <si>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</si>
  <si>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</si>
  <si>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</si>
  <si>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</si>
  <si>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</si>
  <si>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</si>
  <si>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</si>
  <si>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</si>
  <si>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</si>
  <si>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</si>
  <si>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</si>
  <si>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</si>
  <si>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</si>
  <si>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</si>
  <si>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</si>
  <si>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</si>
  <si>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</si>
  <si>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</si>
  <si>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</si>
  <si>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</si>
  <si>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</si>
  <si>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</si>
  <si>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</si>
  <si>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</si>
  <si>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</si>
  <si>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</si>
  <si>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</si>
  <si>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</si>
  <si>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</si>
  <si>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</si>
  <si>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</si>
  <si>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</si>
  <si>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</si>
  <si>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</si>
  <si>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</si>
  <si>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</si>
  <si>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</si>
  <si>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</si>
  <si>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</si>
  <si>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</si>
  <si>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</si>
  <si>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</si>
  <si>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</si>
  <si>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</si>
  <si>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</si>
  <si>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</si>
  <si>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</si>
  <si>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</si>
  <si>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</si>
  <si>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</si>
  <si>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</si>
  <si>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</si>
  <si>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</si>
  <si>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</si>
  <si>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</si>
  <si>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</si>
  <si>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</si>
  <si>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</si>
  <si>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</si>
  <si>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</si>
  <si>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</si>
  <si>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</si>
  <si>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</si>
  <si>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</si>
  <si>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</si>
  <si>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</si>
  <si>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</si>
  <si>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</si>
  <si>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</si>
  <si>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</si>
  <si>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</si>
  <si>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</si>
  <si>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</si>
  <si>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</si>
  <si>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</si>
  <si>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</si>
  <si>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</si>
  <si>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</si>
  <si>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</si>
  <si>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</si>
  <si>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</si>
  <si>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</si>
  <si>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</si>
  <si>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</si>
  <si>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</si>
  <si>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</si>
  <si>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</si>
  <si>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</si>
  <si>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</si>
  <si>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</si>
  <si>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</si>
  <si>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</si>
  <si>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</si>
  <si>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</si>
  <si>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</si>
  <si>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</si>
  <si>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</si>
  <si>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</si>
  <si>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</si>
  <si>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</si>
  <si>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</si>
  <si>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</si>
  <si>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</si>
  <si>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</si>
  <si>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</si>
  <si>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</si>
  <si>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</si>
  <si>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</si>
  <si>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</si>
  <si>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</si>
  <si>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</si>
  <si>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</si>
  <si>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</si>
  <si>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</si>
  <si>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</si>
  <si>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</si>
  <si>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</si>
  <si>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</si>
  <si>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</si>
  <si>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</si>
  <si>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</si>
  <si>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</si>
  <si>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</si>
  <si>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</si>
  <si>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</si>
  <si>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</si>
  <si>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</si>
  <si>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</si>
  <si>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</si>
  <si>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</si>
  <si>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</si>
  <si>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</si>
  <si>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</si>
  <si>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</si>
  <si>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</si>
  <si>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</si>
  <si>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</si>
  <si>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</si>
  <si>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</si>
  <si>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</si>
  <si>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</si>
  <si>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</si>
  <si>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</si>
  <si>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</si>
  <si>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</si>
  <si>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</si>
  <si>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</si>
  <si>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</si>
  <si>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</si>
  <si>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</si>
  <si>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</si>
  <si>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</si>
  <si>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</si>
  <si>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</si>
  <si>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</si>
  <si>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</si>
  <si>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</si>
  <si>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</si>
  <si>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</si>
  <si>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</si>
  <si>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</si>
  <si>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</si>
  <si>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</si>
  <si>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</si>
  <si>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</si>
  <si>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</si>
  <si>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</si>
  <si>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</si>
  <si>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</si>
  <si>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</si>
  <si>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</si>
  <si>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</si>
  <si>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</si>
  <si>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</si>
  <si>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</si>
  <si>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</si>
  <si>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</si>
  <si>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</si>
  <si>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</si>
  <si>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</si>
  <si>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</si>
  <si>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</si>
  <si>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</si>
  <si>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</si>
  <si>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</si>
  <si>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</si>
  <si>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</si>
  <si>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</si>
  <si>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</si>
  <si>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</si>
  <si>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</si>
  <si>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</si>
  <si>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</si>
  <si>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</si>
  <si>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</si>
  <si>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</si>
  <si>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</si>
  <si>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</si>
  <si>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</si>
  <si>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</si>
  <si>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</si>
  <si>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</si>
  <si>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</si>
  <si>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</si>
  <si>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</si>
  <si>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</si>
  <si>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</si>
  <si>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</si>
  <si>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</si>
  <si>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</si>
  <si>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</si>
  <si>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</si>
  <si>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</si>
  <si>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</si>
  <si>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</si>
  <si>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</si>
  <si>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</si>
  <si>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</si>
  <si>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</si>
  <si>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</si>
  <si>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</si>
  <si>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</si>
  <si>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</si>
  <si>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</si>
  <si>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</si>
  <si>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</si>
  <si>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</si>
  <si>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</si>
  <si>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</si>
  <si>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</si>
  <si>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</si>
  <si>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</si>
  <si>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</si>
  <si>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</si>
  <si>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</si>
  <si>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</si>
  <si>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</si>
  <si>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</si>
  <si>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</si>
  <si>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</si>
  <si>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</si>
  <si>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</si>
  <si>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</si>
  <si>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</si>
  <si>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</si>
  <si>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</si>
  <si>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</si>
  <si>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</si>
  <si>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</si>
  <si>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</si>
  <si>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</si>
  <si>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</si>
  <si>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</si>
  <si>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</si>
  <si>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</si>
  <si>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</si>
  <si>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</si>
  <si>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</si>
  <si>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</si>
  <si>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</si>
  <si>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</si>
  <si>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</si>
  <si>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</si>
  <si>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</si>
  <si>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</si>
  <si>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</si>
  <si>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</si>
  <si>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</si>
  <si>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</si>
  <si>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</si>
  <si>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</si>
  <si>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</si>
  <si>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</si>
  <si>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</si>
  <si>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</si>
  <si>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</si>
  <si>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</si>
  <si>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</si>
  <si>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</si>
  <si>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</si>
  <si>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</si>
  <si>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</si>
  <si>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</si>
  <si>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</si>
  <si>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</si>
  <si>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</si>
  <si>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</si>
  <si>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</si>
  <si>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</si>
  <si>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</si>
  <si>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</si>
  <si>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</si>
  <si>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</si>
  <si>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</si>
  <si>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</si>
  <si>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</si>
  <si>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</si>
  <si>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</si>
  <si>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</si>
  <si>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</si>
  <si>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</si>
  <si>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</si>
  <si>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</si>
  <si>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</si>
  <si>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</si>
  <si>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</si>
  <si>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</si>
  <si>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</si>
  <si>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</si>
  <si>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</si>
  <si>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</si>
  <si>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</si>
  <si>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</si>
  <si>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</si>
  <si>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</si>
  <si>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</si>
  <si>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</si>
  <si>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</si>
  <si>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</si>
  <si>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</si>
  <si>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</si>
  <si>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</si>
  <si>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</si>
  <si>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</si>
  <si>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</si>
  <si>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</si>
  <si>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</si>
  <si>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</si>
  <si>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</si>
  <si>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</si>
  <si>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</si>
  <si>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</si>
  <si>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</si>
  <si>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</si>
  <si>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</si>
  <si>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</si>
  <si>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</si>
  <si>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</si>
  <si>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</si>
  <si>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</si>
  <si>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</si>
  <si>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</si>
  <si>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</si>
  <si>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</si>
  <si>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</si>
  <si>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</si>
  <si>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</si>
  <si>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</si>
  <si>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</si>
  <si>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</si>
  <si>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</si>
  <si>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</si>
  <si>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</si>
  <si>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</si>
  <si>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</si>
  <si>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</si>
  <si>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</si>
  <si>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</si>
  <si>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</si>
  <si>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</si>
  <si>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</si>
  <si>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</si>
  <si>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</si>
  <si>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</si>
  <si>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</si>
  <si>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</si>
  <si>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</si>
  <si>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</si>
  <si>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</si>
  <si>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</si>
  <si>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</si>
  <si>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</si>
  <si>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</si>
  <si>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</si>
  <si>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</si>
  <si>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</si>
  <si>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</si>
  <si>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</si>
  <si>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</si>
  <si>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</si>
  <si>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</si>
  <si>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</si>
  <si>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</si>
  <si>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</si>
  <si>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</si>
  <si>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</si>
  <si>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</si>
  <si>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</si>
  <si>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</si>
  <si>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</si>
  <si>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</si>
  <si>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</si>
  <si>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</si>
  <si>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</si>
  <si>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</si>
  <si>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</si>
  <si>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</si>
  <si>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</si>
  <si>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</si>
  <si>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</si>
  <si>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</si>
  <si>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</si>
  <si>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</si>
  <si>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</si>
  <si>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</si>
  <si>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</si>
  <si>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</si>
  <si>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</si>
  <si>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</si>
  <si>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</si>
  <si>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</si>
  <si>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</si>
  <si>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</si>
  <si>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</si>
  <si>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</si>
  <si>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</si>
  <si>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</si>
  <si>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</si>
  <si>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</si>
  <si>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</si>
  <si>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</si>
  <si>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</si>
  <si>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</si>
  <si>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</si>
  <si>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</si>
  <si>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</si>
  <si>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</si>
  <si>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</si>
  <si>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</si>
  <si>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</si>
  <si>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</si>
  <si>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</si>
  <si>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</si>
  <si>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</si>
  <si>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</si>
  <si>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</si>
  <si>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</si>
  <si>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</si>
  <si>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</si>
  <si>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</si>
  <si>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</si>
  <si>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</si>
  <si>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</si>
  <si>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</si>
  <si>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</si>
  <si>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</si>
  <si>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</si>
  <si>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</si>
  <si>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</si>
  <si>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</si>
  <si>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</si>
  <si>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</si>
  <si>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</si>
  <si>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</si>
  <si>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</si>
  <si>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</si>
  <si>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</si>
  <si>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</si>
  <si>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</si>
  <si>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</si>
  <si>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</si>
  <si>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</si>
  <si>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</si>
  <si>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</si>
  <si>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</si>
  <si>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</si>
  <si>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</si>
  <si>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</si>
  <si>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</si>
  <si>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</si>
  <si>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</si>
  <si>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</si>
  <si>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</si>
  <si>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</si>
  <si>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</si>
  <si>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</si>
  <si>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</si>
  <si>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</si>
  <si>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</si>
  <si>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</si>
  <si>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</si>
  <si>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</si>
  <si>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</si>
  <si>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</si>
  <si>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</si>
  <si>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</si>
  <si>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</si>
  <si>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</si>
  <si>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</si>
  <si>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</si>
  <si>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</si>
  <si>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</si>
  <si>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</si>
  <si>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</si>
  <si>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</si>
  <si>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</si>
  <si>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</si>
  <si>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</si>
  <si>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</si>
  <si>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</si>
  <si>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</si>
  <si>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</si>
  <si>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</si>
  <si>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</si>
  <si>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</si>
  <si>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</si>
  <si>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</si>
  <si>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</si>
  <si>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</si>
  <si>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</si>
  <si>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</si>
  <si>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</si>
  <si>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</si>
  <si>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</si>
  <si>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</si>
  <si>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</si>
  <si>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</si>
  <si>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</si>
  <si>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</si>
  <si>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</si>
  <si>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</si>
  <si>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</si>
  <si>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</si>
  <si>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</si>
  <si>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</si>
  <si>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</si>
  <si>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</si>
  <si>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</si>
  <si>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</si>
  <si>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</si>
  <si>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</si>
  <si>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</si>
  <si>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</si>
  <si>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</si>
  <si>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</si>
  <si>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</si>
  <si>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</si>
  <si>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</si>
  <si>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</si>
  <si>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</si>
  <si>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</si>
  <si>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</si>
  <si>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</si>
  <si>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</si>
  <si>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</si>
  <si>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</si>
  <si>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</si>
  <si>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</si>
  <si>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</si>
  <si>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</si>
  <si>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</si>
  <si>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</si>
  <si>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</si>
  <si>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</si>
  <si>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</si>
  <si>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</si>
  <si>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</si>
  <si>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</si>
  <si>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</si>
  <si>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</si>
  <si>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</si>
  <si>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</si>
  <si>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</si>
  <si>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</si>
  <si>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</si>
  <si>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</si>
  <si>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</si>
  <si>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</si>
  <si>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</si>
  <si>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</si>
  <si>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</si>
  <si>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</si>
  <si>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</si>
  <si>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</si>
  <si>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</si>
  <si>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</si>
  <si>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</si>
  <si>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</si>
  <si>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</si>
  <si>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</si>
  <si>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</si>
  <si>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</si>
  <si>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</si>
  <si>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</si>
  <si>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</si>
  <si>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</si>
  <si>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</si>
  <si>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</si>
  <si>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</si>
  <si>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</si>
  <si>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</si>
  <si>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</si>
  <si>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</si>
  <si>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</si>
  <si>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</si>
  <si>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</si>
  <si>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</si>
  <si>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</si>
  <si>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</si>
  <si>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</si>
  <si>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</si>
  <si>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</si>
  <si>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</si>
  <si>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</si>
  <si>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</si>
  <si>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</si>
  <si>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</si>
  <si>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</si>
  <si>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</si>
  <si>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</si>
  <si>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</si>
  <si>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</si>
  <si>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</si>
  <si>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</si>
  <si>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</si>
  <si>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</si>
  <si>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</si>
  <si>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</si>
  <si>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</si>
  <si>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</si>
  <si>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</si>
  <si>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</si>
  <si>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</si>
  <si>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</si>
  <si>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</si>
  <si>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</si>
  <si>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</si>
  <si>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</si>
  <si>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</si>
  <si>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</si>
  <si>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</si>
  <si>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</si>
  <si>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</si>
  <si>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</si>
  <si>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</si>
  <si>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</si>
  <si>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</si>
  <si>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</si>
  <si>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</si>
  <si>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</si>
  <si>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</si>
  <si>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</si>
  <si>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</si>
  <si>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</si>
  <si>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</si>
  <si>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</si>
  <si>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</si>
  <si>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</si>
  <si>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</si>
  <si>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</si>
  <si>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</si>
  <si>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</si>
  <si>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</si>
  <si>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</si>
  <si>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</si>
  <si>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</si>
  <si>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</si>
  <si>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</si>
  <si>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</si>
  <si>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</si>
  <si>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</si>
  <si>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</si>
  <si>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</si>
  <si>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</si>
  <si>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</si>
  <si>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</si>
  <si>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</si>
  <si>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</si>
  <si>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</si>
  <si>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</si>
  <si>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</si>
  <si>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</si>
  <si>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</si>
  <si>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</si>
  <si>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</si>
  <si>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</si>
  <si>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</si>
  <si>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</si>
  <si>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</si>
  <si>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</si>
  <si>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</si>
  <si>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</si>
  <si>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</si>
  <si>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</si>
  <si>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</si>
  <si>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</si>
  <si>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</si>
  <si>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</si>
  <si>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</si>
  <si>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</si>
  <si>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</si>
  <si>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</si>
  <si>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</si>
  <si>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</si>
  <si>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</si>
  <si>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</si>
  <si>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</si>
  <si>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</si>
  <si>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</si>
  <si>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</si>
  <si>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</si>
  <si>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</si>
  <si>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</si>
  <si>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</si>
  <si>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</si>
  <si>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</si>
  <si>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</si>
  <si>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</si>
  <si>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</si>
  <si>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</si>
  <si>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</si>
  <si>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</si>
  <si>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</si>
  <si>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</si>
  <si>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</si>
  <si>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</si>
  <si>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</si>
  <si>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</si>
  <si>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</si>
  <si>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</si>
  <si>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</si>
  <si>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</si>
  <si>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</si>
  <si>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</si>
  <si>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</si>
  <si>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</si>
  <si>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</si>
  <si>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</si>
  <si>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</si>
  <si>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</si>
  <si>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</si>
  <si>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</si>
  <si>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</si>
  <si>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</si>
  <si>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</si>
  <si>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</si>
  <si>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</si>
  <si>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</si>
  <si>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</si>
  <si>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</si>
  <si>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</si>
  <si>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</si>
  <si>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</si>
  <si>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</si>
  <si>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</si>
  <si>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</si>
  <si>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</si>
  <si>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</si>
  <si>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</si>
  <si>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</si>
  <si>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</si>
  <si>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</si>
  <si>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</si>
  <si>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</si>
  <si>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</si>
  <si>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</si>
  <si>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</si>
  <si>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</si>
  <si>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</si>
  <si>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</si>
  <si>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</si>
  <si>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</si>
  <si>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</si>
  <si>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</si>
  <si>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</si>
  <si>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</si>
  <si>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</si>
  <si>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</si>
  <si>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</si>
  <si>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</si>
  <si>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</si>
  <si>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</si>
  <si>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</si>
  <si>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</si>
  <si>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</si>
  <si>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</si>
  <si>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</si>
  <si>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</si>
  <si>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</si>
  <si>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</si>
  <si>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</si>
  <si>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</si>
  <si>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</si>
  <si>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</si>
  <si>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</si>
  <si>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</si>
  <si>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</si>
  <si>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</si>
  <si>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</si>
  <si>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</si>
  <si>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</si>
  <si>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</si>
  <si>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</si>
  <si>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</si>
  <si>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</si>
  <si>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</si>
  <si>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</si>
  <si>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</si>
  <si>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</si>
  <si>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</si>
  <si>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</si>
  <si>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</si>
  <si>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</si>
  <si>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</si>
  <si>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</si>
  <si>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</si>
  <si>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</si>
  <si>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</si>
  <si>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</si>
  <si>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</si>
  <si>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</si>
  <si>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</si>
  <si>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</si>
  <si>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</si>
  <si>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</si>
  <si>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</si>
  <si>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</si>
  <si>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</si>
  <si>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</si>
  <si>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</si>
  <si>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</si>
  <si>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</si>
  <si>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</si>
  <si>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</si>
  <si>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</si>
  <si>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</si>
  <si>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</si>
  <si>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</si>
  <si>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</si>
  <si>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</si>
  <si>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</si>
  <si>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</si>
  <si>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</si>
  <si>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</si>
  <si>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</si>
  <si>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</si>
  <si>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</si>
  <si>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</si>
  <si>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</si>
  <si>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</si>
  <si>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</si>
  <si>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</si>
  <si>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</si>
  <si>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</si>
  <si>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</si>
  <si>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</si>
  <si>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</si>
  <si>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</si>
  <si>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</si>
  <si>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</si>
  <si>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</si>
  <si>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</si>
  <si>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</si>
  <si>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</si>
  <si>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</si>
  <si>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</si>
  <si>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</si>
  <si>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</si>
  <si>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</si>
  <si>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</si>
  <si>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</si>
  <si>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</si>
  <si>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</si>
  <si>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</si>
  <si>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</si>
  <si>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</si>
  <si>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</si>
  <si>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</si>
  <si>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</si>
  <si>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</si>
  <si>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</si>
  <si>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</si>
  <si>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</si>
  <si>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</si>
  <si>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</si>
  <si>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</si>
  <si>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</si>
  <si>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</si>
  <si>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</si>
  <si>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</si>
  <si>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</si>
  <si>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</si>
  <si>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</si>
  <si>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</si>
  <si>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</si>
  <si>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</si>
  <si>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</si>
  <si>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</si>
  <si>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</si>
  <si>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</si>
  <si>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</si>
  <si>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</si>
  <si>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</si>
  <si>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</si>
  <si>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</si>
  <si>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</si>
  <si>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</si>
  <si>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</si>
  <si>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</si>
  <si>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</si>
  <si>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</si>
  <si>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</si>
  <si>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</si>
  <si>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</si>
  <si>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</si>
  <si>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</si>
  <si>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</si>
  <si>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</si>
  <si>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</si>
  <si>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</si>
  <si>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</si>
  <si>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</si>
  <si>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</si>
  <si>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</si>
  <si>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</si>
  <si>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</si>
  <si>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</si>
  <si>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</si>
  <si>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</si>
  <si>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</si>
  <si>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</si>
  <si>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</si>
  <si>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</si>
  <si>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</si>
  <si>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</si>
  <si>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</si>
  <si>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</si>
  <si>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</si>
  <si>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</si>
  <si>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</si>
  <si>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</si>
  <si>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</si>
  <si>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</si>
  <si>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</si>
  <si>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</si>
  <si>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</si>
  <si>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</si>
  <si>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</si>
  <si>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</si>
  <si>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</si>
  <si>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</si>
  <si>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</si>
  <si>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</si>
  <si>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</si>
  <si>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</si>
  <si>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</si>
  <si>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</si>
  <si>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</si>
  <si>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</si>
  <si>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</si>
  <si>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</si>
  <si>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</si>
  <si>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</si>
  <si>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</si>
  <si>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</si>
  <si>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</si>
  <si>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</si>
  <si>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</si>
  <si>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</si>
  <si>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</si>
  <si>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</si>
  <si>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</si>
  <si>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</si>
  <si>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</si>
  <si>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</si>
  <si>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</si>
  <si>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</si>
  <si>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</si>
  <si>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</si>
  <si>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</si>
  <si>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</si>
  <si>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</si>
  <si>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</si>
  <si>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</si>
  <si>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</si>
  <si>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</si>
  <si>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</si>
  <si>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</si>
  <si>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</si>
  <si>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</si>
  <si>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</si>
  <si>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</si>
  <si>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</si>
  <si>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</si>
  <si>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</si>
  <si>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</si>
  <si>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</si>
  <si>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</si>
  <si>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</si>
  <si>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</si>
  <si>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</si>
  <si>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</si>
  <si>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</si>
  <si>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</si>
  <si>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</si>
  <si>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</si>
  <si>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</si>
  <si>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</si>
  <si>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</si>
  <si>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</si>
  <si>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</si>
  <si>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</si>
  <si>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</si>
  <si>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</si>
  <si>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</si>
  <si>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</si>
  <si>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</si>
  <si>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</si>
  <si>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</si>
  <si>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</si>
  <si>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</si>
  <si>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</si>
  <si>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</si>
  <si>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</si>
  <si>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</si>
  <si>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</si>
  <si>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</si>
  <si>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</si>
  <si>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</si>
  <si>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</si>
  <si>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</si>
  <si>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</si>
  <si>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</si>
  <si>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</si>
  <si>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</si>
  <si>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</si>
  <si>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</si>
  <si>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</si>
  <si>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</si>
  <si>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</si>
  <si>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</si>
  <si>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</si>
  <si>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</si>
  <si>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</si>
  <si>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</si>
  <si>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</si>
  <si>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</si>
  <si>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</si>
  <si>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</si>
  <si>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</si>
  <si>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</si>
  <si>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</si>
  <si>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</si>
  <si>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</si>
  <si>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</si>
  <si>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</si>
  <si>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</si>
  <si>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</si>
  <si>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</si>
  <si>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</si>
  <si>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</si>
  <si>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</si>
  <si>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</si>
  <si>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</si>
  <si>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</si>
  <si>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</si>
  <si>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</si>
  <si>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</si>
  <si>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</si>
  <si>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</si>
  <si>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</si>
  <si>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</si>
  <si>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</si>
  <si>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</si>
  <si>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</si>
  <si>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</si>
  <si>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</si>
  <si>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</si>
  <si>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</si>
  <si>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</si>
  <si>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</si>
  <si>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</si>
  <si>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</si>
  <si>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</si>
  <si>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</si>
  <si>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</si>
  <si>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</si>
  <si>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</si>
  <si>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</si>
  <si>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</si>
  <si>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</si>
  <si>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</si>
  <si>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</si>
  <si>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</si>
  <si>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</si>
  <si>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</si>
  <si>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</si>
  <si>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</si>
  <si>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</si>
  <si>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</si>
  <si>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</si>
  <si>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</si>
  <si>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</si>
  <si>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</si>
  <si>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</si>
  <si>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</si>
  <si>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</si>
  <si>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</si>
  <si>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</si>
  <si>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</si>
  <si>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</si>
  <si>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</si>
  <si>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</si>
  <si>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</si>
  <si>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</si>
  <si>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</si>
  <si>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</si>
  <si>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</si>
  <si>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</si>
  <si>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</si>
  <si>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</si>
  <si>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</si>
  <si>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</si>
  <si>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</si>
  <si>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</si>
  <si>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</si>
  <si>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</si>
  <si>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</si>
  <si>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</si>
  <si>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</si>
  <si>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</si>
  <si>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</si>
  <si>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</si>
  <si>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</si>
  <si>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</si>
  <si>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</si>
  <si>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</si>
  <si>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</si>
  <si>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</si>
  <si>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</si>
  <si>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</si>
  <si>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</si>
  <si>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</si>
  <si>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</si>
  <si>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</si>
  <si>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</si>
  <si>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</si>
  <si>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</si>
  <si>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</si>
  <si>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</si>
  <si>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</si>
  <si>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</si>
  <si>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</si>
  <si>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</si>
  <si>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</si>
  <si>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</si>
  <si>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</si>
  <si>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</si>
  <si>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</si>
  <si>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</si>
  <si>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</si>
  <si>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</si>
  <si>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</si>
  <si>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</si>
  <si>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</si>
  <si>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</si>
  <si>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</si>
  <si>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</si>
  <si>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</si>
  <si>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</si>
  <si>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</si>
  <si>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</si>
  <si>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</si>
  <si>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</si>
  <si>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</si>
  <si>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</si>
  <si>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</si>
  <si>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</si>
  <si>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</si>
  <si>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</si>
  <si>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</si>
  <si>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</si>
  <si>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</si>
  <si>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</si>
  <si>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</si>
  <si>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</si>
  <si>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</si>
  <si>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</si>
  <si>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</si>
  <si>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</si>
  <si>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</si>
  <si>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</si>
  <si>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</si>
  <si>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</si>
  <si>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</si>
  <si>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</si>
  <si>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</si>
  <si>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</si>
  <si>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</si>
  <si>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</si>
  <si>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</si>
  <si>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</si>
  <si>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</si>
  <si>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</si>
  <si>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</si>
  <si>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</si>
  <si>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</si>
  <si>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</si>
  <si>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</si>
  <si>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</si>
  <si>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</si>
  <si>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</si>
  <si>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</si>
  <si>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</si>
  <si>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</si>
  <si>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</si>
  <si>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</si>
  <si>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</si>
  <si>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</si>
  <si>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</si>
  <si>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</si>
  <si>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</si>
  <si>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</si>
  <si>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</si>
  <si>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</si>
  <si>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</si>
  <si>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</si>
  <si>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</si>
  <si>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</si>
  <si>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</si>
  <si>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</si>
  <si>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</si>
  <si>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</si>
  <si>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</si>
  <si>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</si>
  <si>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</si>
  <si>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</si>
  <si>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</si>
  <si>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</si>
  <si>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</si>
  <si>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</si>
  <si>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</si>
  <si>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</si>
  <si>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</si>
  <si>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</si>
  <si>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</si>
  <si>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</si>
  <si>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</si>
  <si>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</si>
  <si>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</si>
  <si>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</si>
  <si>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</si>
  <si>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</si>
  <si>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</si>
  <si>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</si>
  <si>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</si>
  <si>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</si>
  <si>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</si>
  <si>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</si>
  <si>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</si>
  <si>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</si>
  <si>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</si>
  <si>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</si>
  <si>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</si>
  <si>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</si>
  <si>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</si>
  <si>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</si>
  <si>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</si>
  <si>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</si>
  <si>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</si>
  <si>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</si>
  <si>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</si>
  <si>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</si>
  <si>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</si>
  <si>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</si>
  <si>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</si>
  <si>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</si>
  <si>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</si>
  <si>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</si>
  <si>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</si>
  <si>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</si>
  <si>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</si>
  <si>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</si>
  <si>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</si>
  <si>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</si>
  <si>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</si>
  <si>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</si>
  <si>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</si>
  <si>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</si>
  <si>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</si>
  <si>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</si>
  <si>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</si>
  <si>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</si>
  <si>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</si>
  <si>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</si>
  <si>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</si>
  <si>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</si>
  <si>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</si>
  <si>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</si>
  <si>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</si>
  <si>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</si>
  <si>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</si>
  <si>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</si>
  <si>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</si>
  <si>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</si>
  <si>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</si>
  <si>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</si>
  <si>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</si>
  <si>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</si>
  <si>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</si>
  <si>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</si>
  <si>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</si>
  <si>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</si>
  <si>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</si>
  <si>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</si>
  <si>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</si>
  <si>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</si>
  <si>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</si>
  <si>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</si>
  <si>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</si>
  <si>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</si>
  <si>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</si>
  <si>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</si>
  <si>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</si>
  <si>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</si>
  <si>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</si>
  <si>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</si>
  <si>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</si>
  <si>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</si>
  <si>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</si>
  <si>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</si>
  <si>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</si>
  <si>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</si>
  <si>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</si>
  <si>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</si>
  <si>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</si>
  <si>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</si>
  <si>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</si>
  <si>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</si>
  <si>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</si>
  <si>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</si>
  <si>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</si>
  <si>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</si>
  <si>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</si>
  <si>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</si>
  <si>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</si>
  <si>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</si>
  <si>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</si>
  <si>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</si>
  <si>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</si>
  <si>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</si>
  <si>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</si>
  <si>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</si>
  <si>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</si>
  <si>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</si>
  <si>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</si>
  <si>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</si>
  <si>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</si>
  <si>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</si>
  <si>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</si>
  <si>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</si>
  <si>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</si>
  <si>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</si>
  <si>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</si>
  <si>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</si>
  <si>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</si>
  <si>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</si>
  <si>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</si>
  <si>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</si>
  <si>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</si>
  <si>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</si>
  <si>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</si>
  <si>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</si>
  <si>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</si>
  <si>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</si>
  <si>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</si>
  <si>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</si>
  <si>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</si>
  <si>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</si>
  <si>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</si>
  <si>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</si>
  <si>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</si>
  <si>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</si>
  <si>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</si>
  <si>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</si>
  <si>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</si>
  <si>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</si>
  <si>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</si>
  <si>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</si>
  <si>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</si>
  <si>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</si>
  <si>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</si>
  <si>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</si>
  <si>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</si>
  <si>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</si>
  <si>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</si>
  <si>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</si>
  <si>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</si>
  <si>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</si>
  <si>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</si>
  <si>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</si>
  <si>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</si>
  <si>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</si>
  <si>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</si>
  <si>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</si>
  <si>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</si>
  <si>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</si>
  <si>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</si>
  <si>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</si>
  <si>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</si>
  <si>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</si>
  <si>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</si>
  <si>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</si>
  <si>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</si>
  <si>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</si>
  <si>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</si>
  <si>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</si>
  <si>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</si>
  <si>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</si>
  <si>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</si>
  <si>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</si>
  <si>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</si>
  <si>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</si>
  <si>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</si>
  <si>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</si>
  <si>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</si>
  <si>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</si>
  <si>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</si>
  <si>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</si>
  <si>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</si>
  <si>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</si>
  <si>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</si>
  <si>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</si>
  <si>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</si>
  <si>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</si>
  <si>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</si>
  <si>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</si>
  <si>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</si>
  <si>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</si>
  <si>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</si>
  <si>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</si>
  <si>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</si>
  <si>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</si>
  <si>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</si>
  <si>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</si>
  <si>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</si>
  <si>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</si>
  <si>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</si>
  <si>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</si>
  <si>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</si>
  <si>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</si>
  <si>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</si>
  <si>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</si>
  <si>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</si>
  <si>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</si>
  <si>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</si>
  <si>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</si>
  <si>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</si>
  <si>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</si>
  <si>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</si>
  <si>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</si>
  <si>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</si>
  <si>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</si>
  <si>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</si>
  <si>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</si>
  <si>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</si>
  <si>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</si>
  <si>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</si>
  <si>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</si>
  <si>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</si>
  <si>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</si>
  <si>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</si>
  <si>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</si>
  <si>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</si>
  <si>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</si>
  <si>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</si>
  <si>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</si>
  <si>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</si>
  <si>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</si>
  <si>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</si>
  <si>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</si>
  <si>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</si>
  <si>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</si>
  <si>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</si>
  <si>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</si>
  <si>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</si>
  <si>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</si>
  <si>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</si>
  <si>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</si>
  <si>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</si>
  <si>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</si>
  <si>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</si>
  <si>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</si>
  <si>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</si>
  <si>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</si>
  <si>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</si>
  <si>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</si>
  <si>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</si>
  <si>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</si>
  <si>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</si>
  <si>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</si>
  <si>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</si>
  <si>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</si>
  <si>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</si>
  <si>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</si>
  <si>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</si>
  <si>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</si>
  <si>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</si>
  <si>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</si>
  <si>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</si>
  <si>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</si>
  <si>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</si>
  <si>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</si>
  <si>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</si>
  <si>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</si>
  <si>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</si>
  <si>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</si>
  <si>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</si>
  <si>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</si>
  <si>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</si>
  <si>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</si>
  <si>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</si>
  <si>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</si>
  <si>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</si>
  <si>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</si>
  <si>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</si>
  <si>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</si>
  <si>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</si>
  <si>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</si>
  <si>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</si>
  <si>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</si>
  <si>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</si>
  <si>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</si>
  <si>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</si>
  <si>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</si>
  <si>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</si>
  <si>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</si>
  <si>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</si>
  <si>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</si>
  <si>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</si>
  <si>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</si>
  <si>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</si>
  <si>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</si>
  <si>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</si>
  <si>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</si>
  <si>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</si>
  <si>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</si>
  <si>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</si>
  <si>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</si>
  <si>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</si>
  <si>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</si>
  <si>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</si>
  <si>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</si>
  <si>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</si>
  <si>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</si>
  <si>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</si>
  <si>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</si>
  <si>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</si>
  <si>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</si>
  <si>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</si>
  <si>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</si>
  <si>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</si>
  <si>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</si>
  <si>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</si>
  <si>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</si>
  <si>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</si>
  <si>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</si>
  <si>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</si>
  <si>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</si>
  <si>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</si>
  <si>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</si>
  <si>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</si>
  <si>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</si>
  <si>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</si>
  <si>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</si>
  <si>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</si>
  <si>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</si>
  <si>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</si>
  <si>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</si>
  <si>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</si>
  <si>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</si>
  <si>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</si>
  <si>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</si>
  <si>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</si>
  <si>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</si>
  <si>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</si>
  <si>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</si>
  <si>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</si>
  <si>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</si>
  <si>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</si>
  <si>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</si>
  <si>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</si>
  <si>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</si>
  <si>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</si>
  <si>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</si>
  <si>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</si>
  <si>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</si>
  <si>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</si>
  <si>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</si>
  <si>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</si>
  <si>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</si>
  <si>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</si>
  <si>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</si>
  <si>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</si>
  <si>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</si>
  <si>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</si>
  <si>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</si>
  <si>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</si>
  <si>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</si>
  <si>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</si>
  <si>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</si>
  <si>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</si>
  <si>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</si>
  <si>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</si>
  <si>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</si>
  <si>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</si>
  <si>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</si>
  <si>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</si>
  <si>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</si>
  <si>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</si>
  <si>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</si>
  <si>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</si>
  <si>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</si>
  <si>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</si>
  <si>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</si>
  <si>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</si>
  <si>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</si>
  <si>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</si>
  <si>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</si>
  <si>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</si>
  <si>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</si>
  <si>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</si>
  <si>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</si>
  <si>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</si>
  <si>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</si>
  <si>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</si>
  <si>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</si>
  <si>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</si>
  <si>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</si>
  <si>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</si>
  <si>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</si>
  <si>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</si>
  <si>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</si>
  <si>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</si>
  <si>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</si>
  <si>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</si>
  <si>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</si>
  <si>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</si>
  <si>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</si>
  <si>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</si>
  <si>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</si>
  <si>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</si>
  <si>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</si>
  <si>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</si>
  <si>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</si>
  <si>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</si>
  <si>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</si>
  <si>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</si>
  <si>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</si>
  <si>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</si>
  <si>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</si>
  <si>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</si>
  <si>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</si>
  <si>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</si>
  <si>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</si>
  <si>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</si>
  <si>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</si>
  <si>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</si>
  <si>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</si>
  <si>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</si>
  <si>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</si>
  <si>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</si>
  <si>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</si>
  <si>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</si>
  <si>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</si>
  <si>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</si>
  <si>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</si>
  <si>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</si>
  <si>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</si>
  <si>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</si>
  <si>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</si>
  <si>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</si>
  <si>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</si>
  <si>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</si>
  <si>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</si>
  <si>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</si>
  <si>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</si>
  <si>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</si>
  <si>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</si>
  <si>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</si>
  <si>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</si>
  <si>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</si>
  <si>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</si>
  <si>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</si>
  <si>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</si>
  <si>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</si>
  <si>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</si>
  <si>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</si>
  <si>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</si>
  <si>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</si>
  <si>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</si>
  <si>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</si>
  <si>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</si>
  <si>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</si>
  <si>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</si>
  <si>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</si>
  <si>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</si>
  <si>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</si>
  <si>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</si>
  <si>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</si>
  <si>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</si>
  <si>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</si>
  <si>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</si>
  <si>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</si>
  <si>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</si>
  <si>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</si>
  <si>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</si>
  <si>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</si>
  <si>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</si>
  <si>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</si>
  <si>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</si>
  <si>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</si>
  <si>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</si>
  <si>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</si>
  <si>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</si>
  <si>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</si>
  <si>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</si>
  <si>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</si>
  <si>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</si>
  <si>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</si>
  <si>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</si>
  <si>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</si>
  <si>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</si>
  <si>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</si>
  <si>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</si>
  <si>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</si>
  <si>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</si>
  <si>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</si>
  <si>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</si>
  <si>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</si>
  <si>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</si>
  <si>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</si>
  <si>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</si>
  <si>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</si>
  <si>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</si>
  <si>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</si>
  <si>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</si>
  <si>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</si>
  <si>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</si>
  <si>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</si>
  <si>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</si>
  <si>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</si>
  <si>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</si>
  <si>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</si>
  <si>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</si>
  <si>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</si>
  <si>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</si>
  <si>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</si>
  <si>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</si>
  <si>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</si>
  <si>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</si>
  <si>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</si>
  <si>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</si>
  <si>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</si>
  <si>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</si>
  <si>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</si>
  <si>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</si>
  <si>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</si>
  <si>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</si>
  <si>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</si>
  <si>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</si>
  <si>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</si>
  <si>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</si>
  <si>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</si>
  <si>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</si>
  <si>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</si>
  <si>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</si>
  <si>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</si>
  <si>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</si>
  <si>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</si>
  <si>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</si>
  <si>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</si>
  <si>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</si>
  <si>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</si>
  <si>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</si>
  <si>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</si>
  <si>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</si>
  <si>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</si>
  <si>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</si>
  <si>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</si>
  <si>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</si>
  <si>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</si>
  <si>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</si>
  <si>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</si>
  <si>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</si>
  <si>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</si>
  <si>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</si>
  <si>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</si>
  <si>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</si>
  <si>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</si>
  <si>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</si>
  <si>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</si>
  <si>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</si>
  <si>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</si>
  <si>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</si>
  <si>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</si>
  <si>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</si>
  <si>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</si>
  <si>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</si>
  <si>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</si>
  <si>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</si>
  <si>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</si>
  <si>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</si>
  <si>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</si>
  <si>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</si>
  <si>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</si>
  <si>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</si>
  <si>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</si>
  <si>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</si>
  <si>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</si>
  <si>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</si>
  <si>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</si>
  <si>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</si>
  <si>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</si>
  <si>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</si>
  <si>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</si>
  <si>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</si>
  <si>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</si>
  <si>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</si>
  <si>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</si>
  <si>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</si>
  <si>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</si>
  <si>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</si>
  <si>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</si>
  <si>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</si>
  <si>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</si>
  <si>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</si>
  <si>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</si>
  <si>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</si>
  <si>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</si>
  <si>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</si>
  <si>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</si>
  <si>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</si>
  <si>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</si>
  <si>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</si>
  <si>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</si>
  <si>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</si>
  <si>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</si>
  <si>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</si>
  <si>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</si>
  <si>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</si>
  <si>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</si>
  <si>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</si>
  <si>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</si>
  <si>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</si>
  <si>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</si>
  <si>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</si>
  <si>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</si>
  <si>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</si>
  <si>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</si>
  <si>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</si>
  <si>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</si>
  <si>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</si>
  <si>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</si>
  <si>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</si>
  <si>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</si>
  <si>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</si>
  <si>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</si>
  <si>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</si>
  <si>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</si>
  <si>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</si>
  <si>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</si>
  <si>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</si>
  <si>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</si>
  <si>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</si>
  <si>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</si>
  <si>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</si>
  <si>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</si>
  <si>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</si>
  <si>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</si>
  <si>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</si>
  <si>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</si>
  <si>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</si>
  <si>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</si>
  <si>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</si>
  <si>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</si>
  <si>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</si>
  <si>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</si>
  <si>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</si>
  <si>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</si>
  <si>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</si>
  <si>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</si>
  <si>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</si>
  <si>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</si>
  <si>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</si>
  <si>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</si>
  <si>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</si>
  <si>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</si>
  <si>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</si>
  <si>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</si>
  <si>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</si>
  <si>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</si>
  <si>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</si>
  <si>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</si>
  <si>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</si>
  <si>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</si>
  <si>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</si>
  <si>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</si>
  <si>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</si>
  <si>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</si>
  <si>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</si>
  <si>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</si>
  <si>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</si>
  <si>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</si>
  <si>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</si>
  <si>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</si>
  <si>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</si>
  <si>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</si>
  <si>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</si>
  <si>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</si>
  <si>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</si>
  <si>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</si>
  <si>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</si>
  <si>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</si>
  <si>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</si>
  <si>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</si>
  <si>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</si>
  <si>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</si>
  <si>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</si>
  <si>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</si>
  <si>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</si>
  <si>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</si>
  <si>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</si>
  <si>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</si>
  <si>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</si>
  <si>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</si>
  <si>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</si>
  <si>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</si>
  <si>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</si>
  <si>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</si>
  <si>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</si>
  <si>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</si>
  <si>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</si>
  <si>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</si>
  <si>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</si>
  <si>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</si>
  <si>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</si>
  <si>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</si>
  <si>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</si>
  <si>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</si>
  <si>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</si>
  <si>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</si>
  <si>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</si>
  <si>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</si>
  <si>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</si>
  <si>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</si>
  <si>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</si>
  <si>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</si>
  <si>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</si>
  <si>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</si>
  <si>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</si>
  <si>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</si>
  <si>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</si>
  <si>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</si>
  <si>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</si>
  <si>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</si>
  <si>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</si>
  <si>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</si>
  <si>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</si>
  <si>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</si>
  <si>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</si>
  <si>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</si>
  <si>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</si>
  <si>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</si>
  <si>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</si>
  <si>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</si>
  <si>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</si>
  <si>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</si>
  <si>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</si>
  <si>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</si>
  <si>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</si>
  <si>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</si>
  <si>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</si>
  <si>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</si>
  <si>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</si>
  <si>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</si>
  <si>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</si>
  <si>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</si>
  <si>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</si>
  <si>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</si>
  <si>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</si>
  <si>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</si>
  <si>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</si>
  <si>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</si>
  <si>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</si>
  <si>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</si>
  <si>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</si>
  <si>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</si>
  <si>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</si>
  <si>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</si>
  <si>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</si>
  <si>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</si>
  <si>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</si>
  <si>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</si>
  <si>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</si>
  <si>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</si>
  <si>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</si>
  <si>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</si>
  <si>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</si>
  <si>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</si>
  <si>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</si>
  <si>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</si>
  <si>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</si>
  <si>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</si>
  <si>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</si>
  <si>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</si>
  <si>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</si>
  <si>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</si>
  <si>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</si>
  <si>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</si>
  <si>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</si>
  <si>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</si>
  <si>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</si>
  <si>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</si>
  <si>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</si>
  <si>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</si>
  <si>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</si>
  <si>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</si>
  <si>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</si>
  <si>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</si>
  <si>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</si>
  <si>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</si>
  <si>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</si>
  <si>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</si>
  <si>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</si>
  <si>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</si>
  <si>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</si>
  <si>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</si>
  <si>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</si>
  <si>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</si>
  <si>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</si>
  <si>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</si>
  <si>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</si>
  <si>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</si>
  <si>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</si>
  <si>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</si>
  <si>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</si>
  <si>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</si>
  <si>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</si>
  <si>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</si>
  <si>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</si>
  <si>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</si>
  <si>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</si>
  <si>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</si>
  <si>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</si>
  <si>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</si>
  <si>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</si>
  <si>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</si>
  <si>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</si>
  <si>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</si>
  <si>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</si>
  <si>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</si>
  <si>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</si>
  <si>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</si>
  <si>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</si>
  <si>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</si>
  <si>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</si>
  <si>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</si>
  <si>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</si>
  <si>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</si>
  <si>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</si>
  <si>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</si>
  <si>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</si>
  <si>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</si>
  <si>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</si>
  <si>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</si>
  <si>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</si>
  <si>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</si>
  <si>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</si>
  <si>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</si>
  <si>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</si>
  <si>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</si>
  <si>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</si>
  <si>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</si>
  <si>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</si>
  <si>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</si>
  <si>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</si>
  <si>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</si>
  <si>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</si>
  <si>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</si>
  <si>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</si>
  <si>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</si>
  <si>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</si>
  <si>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</si>
  <si>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</si>
  <si>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</si>
  <si>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</si>
  <si>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</si>
  <si>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</si>
  <si>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</si>
  <si>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</si>
  <si>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</si>
  <si>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</si>
  <si>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</si>
  <si>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</si>
  <si>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</si>
  <si>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</si>
  <si>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</si>
  <si>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</si>
  <si>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</si>
  <si>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</si>
  <si>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</si>
  <si>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</si>
  <si>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</si>
  <si>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</si>
  <si>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</si>
  <si>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</si>
  <si>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</si>
  <si>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</si>
  <si>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</si>
  <si>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</si>
  <si>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</si>
  <si>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</si>
  <si>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</si>
  <si>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</si>
  <si>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</si>
  <si>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</si>
  <si>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</si>
  <si>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</si>
  <si>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</si>
  <si>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</si>
  <si>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</si>
  <si>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</si>
  <si>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</si>
  <si>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</si>
  <si>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</si>
  <si>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</si>
  <si>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</si>
  <si>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</si>
  <si>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</si>
  <si>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</si>
  <si>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</si>
  <si>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</si>
  <si>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</si>
  <si>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</si>
  <si>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</si>
  <si>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</si>
  <si>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</si>
  <si>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</si>
  <si>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</si>
  <si>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</si>
  <si>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</si>
  <si>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</si>
  <si>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</si>
  <si>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</si>
  <si>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</si>
  <si>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</si>
  <si>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</si>
  <si>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</si>
  <si>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</si>
  <si>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</si>
  <si>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</si>
  <si>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</si>
  <si>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</si>
  <si>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</si>
  <si>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</si>
  <si>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</si>
  <si>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</si>
  <si>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</si>
  <si>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</si>
  <si>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</si>
  <si>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</si>
  <si>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</si>
  <si>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</si>
  <si>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</si>
  <si>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</si>
  <si>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</si>
  <si>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</si>
  <si>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</si>
  <si>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</si>
  <si>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</si>
  <si>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</si>
  <si>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</si>
  <si>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</si>
  <si>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</si>
  <si>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</si>
  <si>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</si>
  <si>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</si>
  <si>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</si>
  <si>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</si>
  <si>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</si>
  <si>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</si>
  <si>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</si>
  <si>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</si>
  <si>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</si>
  <si>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</si>
  <si>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</si>
  <si>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</si>
  <si>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</si>
  <si>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</si>
  <si>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</si>
  <si>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</si>
  <si>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</si>
  <si>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</si>
  <si>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</si>
  <si>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</si>
  <si>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</si>
  <si>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</si>
  <si>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</si>
  <si>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</si>
  <si>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</si>
  <si>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</si>
  <si>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</si>
  <si>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</si>
  <si>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</si>
  <si>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</si>
  <si>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</si>
  <si>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</si>
  <si>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</si>
  <si>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</si>
  <si>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</si>
  <si>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</si>
  <si>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</si>
  <si>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</si>
  <si>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</si>
  <si>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</si>
  <si>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</si>
  <si>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</si>
  <si>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</si>
  <si>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</si>
  <si>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</si>
  <si>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</si>
  <si>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</si>
  <si>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</si>
  <si>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</si>
  <si>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</si>
  <si>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</si>
  <si>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</si>
  <si>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</si>
  <si>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</si>
  <si>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</si>
  <si>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</si>
  <si>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</si>
  <si>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</si>
  <si>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</si>
  <si>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</si>
  <si>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</si>
  <si>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</si>
  <si>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</si>
  <si>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</si>
  <si>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</si>
  <si>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</si>
  <si>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</si>
  <si>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</si>
  <si>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</si>
  <si>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</si>
  <si>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</si>
  <si>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</si>
  <si>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</si>
  <si>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</si>
  <si>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</si>
  <si>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</si>
  <si>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</si>
  <si>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</si>
  <si>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</si>
  <si>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</si>
  <si>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</si>
  <si>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</si>
  <si>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</si>
  <si>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</si>
  <si>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</si>
  <si>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</si>
  <si>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</si>
  <si>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</si>
  <si>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</si>
  <si>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</si>
  <si>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</si>
  <si>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</si>
  <si>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</si>
  <si>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</si>
  <si>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</si>
  <si>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</si>
  <si>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</si>
  <si>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</si>
  <si>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</si>
  <si>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</si>
  <si>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</si>
  <si>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</si>
  <si>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</si>
  <si>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</si>
  <si>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</si>
  <si>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</si>
  <si>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</si>
  <si>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</si>
  <si>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</si>
  <si>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</si>
  <si>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</si>
  <si>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</si>
  <si>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</si>
  <si>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</si>
  <si>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</si>
  <si>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</si>
  <si>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</si>
  <si>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</si>
  <si>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</si>
  <si>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</si>
  <si>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</si>
  <si>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</si>
  <si>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</si>
  <si>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</si>
  <si>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</si>
  <si>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</si>
  <si>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</si>
  <si>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</si>
  <si>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</si>
  <si>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</si>
  <si>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</si>
  <si>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</si>
  <si>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</si>
  <si>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</si>
  <si>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</si>
  <si>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</si>
  <si>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</si>
  <si>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</si>
  <si>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</si>
  <si>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</si>
  <si>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</si>
  <si>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</si>
  <si>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</si>
  <si>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</si>
  <si>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</si>
  <si>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</si>
  <si>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</si>
  <si>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</si>
  <si>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</si>
  <si>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</si>
  <si>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</si>
  <si>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</si>
  <si>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</si>
  <si>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</si>
  <si>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</si>
  <si>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</si>
  <si>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</si>
  <si>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</si>
  <si>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</si>
  <si>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</si>
  <si>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</si>
  <si>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</si>
  <si>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</si>
  <si>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</si>
  <si>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</si>
  <si>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</si>
  <si>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</si>
  <si>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</si>
  <si>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</si>
  <si>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</si>
  <si>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</si>
  <si>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</si>
  <si>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</si>
  <si>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</si>
  <si>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</si>
  <si>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</si>
  <si>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</si>
  <si>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</si>
  <si>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</si>
  <si>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</si>
  <si>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</si>
  <si>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</si>
  <si>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</si>
  <si>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</si>
  <si>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</si>
  <si>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</si>
  <si>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</si>
  <si>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</si>
  <si>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</si>
  <si>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</si>
  <si>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</si>
  <si>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</si>
  <si>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</si>
  <si>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</si>
  <si>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</si>
  <si>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</si>
  <si>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</si>
  <si>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</si>
  <si>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</si>
  <si>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</si>
  <si>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</si>
  <si>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</si>
  <si>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</si>
  <si>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</si>
  <si>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</si>
  <si>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</si>
  <si>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</si>
  <si>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</si>
  <si>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</si>
  <si>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</si>
  <si>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</si>
  <si>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</si>
  <si>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</si>
  <si>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</si>
  <si>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</si>
  <si>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</si>
  <si>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</si>
  <si>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</si>
  <si>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</si>
  <si>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</si>
  <si>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</si>
  <si>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</si>
  <si>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</si>
  <si>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</si>
  <si>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</si>
  <si>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</si>
  <si>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</si>
  <si>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</si>
  <si>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</si>
  <si>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</si>
  <si>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</si>
  <si>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</si>
  <si>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</si>
  <si>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</si>
  <si>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</si>
  <si>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</si>
  <si>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</si>
  <si>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</si>
  <si>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</si>
  <si>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</si>
  <si>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</si>
  <si>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</si>
  <si>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</si>
  <si>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</si>
  <si>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</si>
  <si>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</si>
  <si>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</si>
  <si>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</si>
  <si>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</si>
  <si>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</si>
  <si>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</si>
  <si>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</si>
  <si>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</si>
  <si>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</si>
  <si>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</si>
  <si>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</si>
  <si>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</si>
  <si>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</si>
  <si>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</si>
  <si>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</si>
  <si>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</si>
  <si>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</si>
  <si>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</si>
  <si>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</si>
  <si>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</si>
  <si>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</si>
  <si>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</si>
  <si>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</si>
  <si>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</si>
  <si>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</si>
  <si>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</si>
  <si>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</si>
  <si>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</si>
  <si>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</si>
  <si>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</si>
  <si>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</si>
  <si>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</si>
  <si>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</si>
  <si>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</si>
  <si>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</si>
  <si>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</si>
  <si>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</si>
  <si>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</si>
  <si>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</si>
  <si>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</si>
  <si>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</si>
  <si>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</si>
  <si>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</si>
  <si>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</si>
  <si>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</si>
  <si>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</si>
  <si>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</si>
  <si>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</si>
  <si>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</si>
  <si>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</si>
  <si>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</si>
  <si>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</si>
  <si>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</si>
  <si>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</si>
  <si>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</si>
  <si>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</si>
  <si>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</si>
  <si>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</si>
  <si>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</si>
  <si>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</si>
  <si>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</si>
  <si>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</si>
  <si>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</si>
  <si>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</si>
  <si>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</si>
  <si>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</si>
  <si>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</si>
  <si>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</si>
  <si>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</si>
  <si>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</si>
  <si>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</si>
  <si>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</si>
  <si>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</si>
  <si>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</si>
  <si>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</si>
  <si>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</si>
  <si>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</si>
  <si>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</si>
  <si>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</si>
  <si>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</si>
  <si>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</si>
  <si>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</si>
  <si>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</si>
  <si>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</si>
  <si>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</si>
  <si>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</si>
  <si>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</si>
  <si>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</si>
  <si>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</si>
  <si>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</si>
  <si>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</si>
  <si>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</si>
  <si>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</si>
  <si>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</si>
  <si>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</si>
  <si>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</si>
  <si>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</si>
  <si>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</si>
  <si>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</si>
  <si>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</si>
  <si>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</si>
  <si>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</si>
  <si>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</si>
  <si>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</si>
  <si>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</si>
  <si>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</si>
  <si>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</si>
  <si>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</si>
  <si>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</si>
  <si>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</si>
  <si>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</si>
  <si>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</si>
  <si>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</si>
  <si>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</si>
  <si>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</si>
  <si>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</si>
  <si>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</si>
  <si>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</si>
  <si>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</si>
  <si>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</si>
  <si>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</si>
  <si>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</si>
  <si>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</si>
  <si>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</si>
  <si>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</si>
  <si>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</si>
  <si>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</si>
  <si>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</si>
  <si>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</si>
  <si>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</si>
  <si>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</si>
  <si>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</si>
  <si>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</si>
  <si>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</si>
  <si>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</si>
  <si>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</si>
  <si>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</si>
  <si>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</si>
  <si>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</si>
  <si>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</si>
  <si>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</si>
  <si>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</si>
  <si>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</si>
  <si>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</si>
  <si>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</si>
  <si>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</si>
  <si>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</si>
  <si>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</si>
  <si>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</si>
  <si>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</si>
  <si>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</si>
  <si>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</si>
  <si>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</si>
  <si>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</si>
  <si>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</si>
  <si>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</si>
  <si>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</si>
  <si>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</si>
  <si>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</si>
  <si>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</si>
  <si>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</si>
  <si>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</si>
  <si>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</si>
  <si>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</si>
  <si>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</si>
  <si>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</si>
  <si>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</si>
  <si>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</si>
  <si>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</si>
  <si>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</si>
  <si>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</si>
  <si>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</si>
  <si>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</si>
  <si>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</si>
  <si>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</si>
  <si>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</si>
  <si>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</si>
  <si>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</si>
  <si>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</si>
  <si>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</si>
  <si>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</si>
  <si>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</si>
  <si>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</si>
  <si>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</si>
  <si>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</si>
  <si>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</si>
  <si>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</si>
  <si>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</si>
  <si>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</si>
  <si>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</si>
  <si>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</si>
  <si>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</si>
  <si>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</si>
  <si>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</si>
  <si>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</si>
  <si>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</si>
  <si>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</si>
  <si>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</si>
  <si>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</si>
  <si>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</si>
  <si>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</si>
  <si>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</si>
  <si>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</si>
  <si>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</si>
  <si>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</si>
  <si>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</si>
  <si>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</si>
  <si>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</si>
  <si>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</si>
  <si>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</si>
  <si>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</si>
  <si>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</si>
  <si>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</si>
  <si>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</si>
  <si>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</si>
  <si>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</si>
  <si>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</si>
  <si>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</si>
  <si>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</si>
  <si>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</si>
  <si>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</si>
  <si>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</si>
  <si>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</si>
  <si>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</si>
  <si>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</si>
  <si>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</si>
  <si>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</si>
  <si>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</si>
  <si>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</si>
  <si>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</si>
  <si>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</si>
  <si>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</si>
  <si>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</si>
  <si>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</si>
  <si>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</si>
  <si>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</si>
  <si>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</si>
  <si>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</si>
  <si>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</si>
  <si>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</si>
  <si>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</si>
  <si>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</si>
  <si>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</si>
  <si>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</si>
  <si>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</si>
  <si>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</si>
  <si>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</si>
  <si>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</si>
  <si>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</si>
  <si>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</si>
  <si>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</si>
  <si>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</si>
  <si>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</si>
  <si>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</si>
  <si>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</si>
  <si>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</si>
  <si>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</si>
  <si>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</si>
  <si>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</si>
  <si>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</si>
  <si>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</si>
  <si>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</si>
  <si>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</si>
  <si>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</si>
  <si>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</si>
  <si>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</si>
  <si>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</si>
  <si>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</si>
  <si>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</si>
  <si>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</si>
  <si>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</si>
  <si>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</si>
  <si>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</si>
  <si>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</si>
  <si>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</si>
  <si>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</si>
  <si>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</si>
  <si>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</si>
  <si>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</si>
  <si>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</si>
  <si>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</si>
  <si>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</si>
  <si>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</si>
  <si>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</si>
  <si>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</si>
  <si>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</si>
  <si>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</si>
  <si>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</si>
  <si>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</si>
  <si>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</si>
  <si>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</si>
  <si>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</si>
  <si>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</si>
  <si>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</si>
  <si>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</si>
  <si>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</si>
  <si>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</si>
  <si>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</si>
  <si>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</si>
  <si>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</si>
  <si>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</si>
  <si>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</si>
  <si>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</si>
  <si>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</si>
  <si>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</si>
  <si>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</si>
  <si>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</si>
  <si>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</si>
  <si>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</si>
  <si>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</si>
  <si>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</si>
  <si>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</si>
  <si>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</si>
  <si>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</si>
  <si>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</si>
  <si>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</si>
  <si>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</si>
  <si>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</si>
  <si>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</si>
  <si>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</si>
  <si>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</si>
  <si>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</si>
  <si>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</si>
  <si>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</si>
  <si>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</si>
  <si>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</si>
  <si>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</si>
  <si>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</si>
  <si>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</si>
  <si>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</si>
  <si>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</si>
  <si>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</si>
  <si>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</si>
  <si>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</si>
  <si>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</si>
  <si>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</si>
  <si>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</si>
  <si>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</si>
  <si>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</si>
  <si>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</si>
  <si>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</si>
  <si>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</si>
  <si>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</si>
  <si>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</si>
  <si>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</si>
  <si>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</si>
  <si>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</si>
  <si>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</si>
  <si>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</si>
  <si>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</si>
  <si>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</si>
  <si>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</si>
  <si>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</si>
  <si>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</si>
  <si>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</si>
  <si>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</si>
  <si>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</si>
  <si>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</si>
  <si>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</si>
  <si>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</si>
  <si>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</si>
  <si>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</si>
  <si>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</si>
  <si>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</si>
  <si>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</si>
  <si>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</si>
  <si>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</si>
  <si>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</si>
  <si>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</si>
  <si>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</si>
  <si>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</si>
  <si>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</si>
  <si>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</si>
  <si>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</si>
  <si>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</si>
  <si>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</si>
  <si>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</si>
  <si>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</si>
  <si>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</si>
  <si>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</si>
  <si>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</si>
  <si>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</si>
  <si>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</si>
  <si>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</si>
  <si>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</si>
  <si>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</si>
  <si>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</si>
  <si>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</si>
  <si>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</si>
  <si>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</si>
  <si>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</si>
  <si>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</si>
  <si>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</si>
  <si>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</si>
  <si>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</si>
  <si>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</si>
  <si>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</si>
  <si>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</si>
  <si>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</si>
  <si>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</si>
  <si>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</si>
  <si>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</si>
  <si>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</si>
  <si>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</si>
  <si>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</si>
  <si>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</si>
  <si>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</si>
  <si>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</si>
  <si>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</si>
  <si>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</si>
  <si>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</si>
  <si>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</si>
  <si>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</si>
  <si>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</si>
  <si>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</si>
  <si>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</si>
  <si>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</si>
  <si>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</si>
  <si>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</si>
  <si>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</si>
  <si>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</si>
  <si>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</si>
  <si>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</si>
  <si>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</si>
  <si>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</si>
  <si>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</si>
  <si>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</si>
  <si>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</si>
  <si>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</si>
  <si>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</si>
  <si>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</si>
  <si>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</si>
  <si>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</si>
  <si>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</si>
  <si>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</si>
  <si>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</si>
  <si>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</si>
  <si>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</si>
  <si>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</si>
  <si>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</si>
  <si>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</si>
  <si>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</si>
  <si>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</si>
  <si>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</si>
  <si>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</si>
  <si>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</si>
  <si>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</si>
  <si>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</si>
  <si>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</si>
  <si>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</si>
  <si>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</si>
  <si>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</si>
  <si>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</si>
  <si>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</si>
  <si>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</si>
  <si>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</si>
  <si>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</si>
  <si>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</si>
  <si>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</si>
  <si>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</si>
  <si>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</si>
  <si>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</si>
  <si>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</si>
  <si>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</si>
  <si>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</si>
  <si>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</si>
  <si>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</si>
  <si>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</si>
  <si>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</si>
  <si>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</si>
  <si>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</si>
  <si>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</si>
  <si>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</si>
  <si>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</si>
  <si>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</si>
  <si>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</si>
  <si>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</si>
  <si>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</si>
  <si>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</si>
  <si>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</si>
  <si>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</si>
  <si>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</si>
  <si>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</si>
  <si>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</si>
  <si>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</si>
  <si>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</si>
  <si>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</si>
  <si>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</si>
  <si>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</si>
  <si>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</si>
  <si>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</si>
  <si>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</si>
  <si>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</si>
  <si>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</si>
  <si>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</si>
  <si>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</si>
  <si>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</si>
  <si>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</si>
  <si>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</si>
  <si>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</si>
  <si>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</si>
  <si>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</si>
  <si>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</si>
  <si>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</si>
  <si>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</si>
  <si>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</si>
  <si>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</si>
  <si>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</si>
  <si>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</si>
  <si>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</si>
  <si>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</si>
  <si>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</si>
  <si>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</si>
  <si>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</si>
  <si>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</si>
  <si>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</si>
  <si>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</si>
  <si>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</si>
  <si>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</si>
  <si>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</si>
  <si>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</si>
  <si>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</si>
  <si>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</si>
  <si>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</si>
  <si>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</si>
  <si>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</si>
  <si>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</si>
  <si>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</si>
  <si>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</si>
  <si>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</si>
  <si>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</si>
  <si>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</si>
  <si>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</si>
  <si>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</si>
  <si>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</si>
  <si>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</si>
  <si>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</si>
  <si>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</si>
  <si>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</si>
  <si>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</si>
  <si>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</si>
  <si>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</si>
  <si>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</si>
  <si>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</si>
  <si>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</si>
  <si>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</si>
  <si>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</si>
  <si>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</si>
  <si>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</si>
  <si>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</si>
  <si>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</si>
  <si>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</si>
  <si>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</si>
  <si>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</si>
  <si>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</si>
  <si>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</si>
  <si>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</si>
  <si>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</si>
  <si>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</si>
  <si>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</si>
  <si>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</si>
  <si>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</si>
  <si>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</si>
  <si>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</si>
  <si>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</si>
  <si>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</si>
  <si>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</si>
  <si>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</si>
  <si>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</si>
  <si>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</si>
  <si>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</si>
  <si>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</si>
  <si>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</si>
  <si>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</si>
  <si>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</si>
  <si>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</si>
  <si>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</si>
  <si>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</si>
  <si>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</si>
  <si>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</si>
  <si>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</si>
  <si>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</si>
  <si>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</si>
  <si>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</si>
  <si>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</si>
  <si>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</si>
  <si>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</si>
  <si>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</si>
  <si>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</si>
  <si>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</si>
  <si>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</si>
  <si>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</si>
  <si>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</si>
  <si>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</si>
  <si>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</si>
  <si>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</si>
  <si>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</si>
  <si>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</si>
  <si>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</si>
  <si>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</si>
  <si>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</si>
  <si>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</si>
  <si>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</si>
  <si>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</si>
  <si>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</si>
  <si>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</si>
  <si>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</si>
  <si>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</si>
  <si>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</si>
  <si>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</si>
  <si>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</si>
  <si>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</si>
  <si>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</si>
  <si>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</si>
  <si>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</si>
  <si>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</si>
  <si>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</si>
  <si>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</si>
  <si>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</si>
  <si>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</si>
  <si>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</si>
  <si>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</si>
  <si>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</si>
  <si>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</si>
  <si>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</si>
  <si>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</si>
  <si>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</si>
  <si>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</si>
  <si>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</si>
  <si>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</si>
  <si>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</si>
  <si>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</si>
  <si>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</si>
  <si>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</si>
  <si>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</si>
  <si>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</si>
  <si>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</si>
  <si>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</si>
  <si>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</si>
  <si>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</si>
  <si>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</si>
  <si>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</si>
  <si>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</si>
  <si>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</si>
  <si>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</si>
  <si>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</si>
  <si>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</si>
  <si>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</si>
  <si>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</si>
  <si>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</si>
  <si>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</si>
  <si>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</si>
  <si>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</si>
  <si>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</si>
  <si>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</si>
  <si>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</si>
  <si>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</si>
  <si>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</si>
  <si>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</si>
  <si>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</si>
  <si>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</si>
  <si>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</si>
  <si>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</si>
  <si>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</si>
  <si>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</si>
  <si>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</si>
  <si>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</si>
  <si>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</si>
  <si>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</si>
  <si>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</si>
  <si>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</si>
  <si>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</si>
  <si>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</si>
  <si>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</si>
  <si>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</si>
  <si>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</si>
  <si>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</si>
  <si>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</si>
  <si>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</si>
  <si>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</si>
  <si>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</si>
  <si>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</si>
  <si>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</si>
  <si>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</si>
  <si>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</si>
  <si>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</si>
  <si>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</si>
  <si>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</si>
  <si>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</si>
  <si>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</si>
  <si>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</si>
  <si>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</si>
  <si>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</si>
  <si>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</si>
  <si>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</si>
  <si>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</si>
  <si>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</si>
  <si>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</si>
  <si>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</si>
  <si>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</si>
  <si>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</si>
  <si>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</si>
  <si>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</si>
  <si>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</si>
  <si>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</si>
  <si>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</si>
  <si>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</si>
  <si>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</si>
  <si>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</si>
  <si>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</si>
  <si>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</si>
  <si>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</si>
  <si>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</si>
  <si>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</si>
  <si>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</si>
  <si>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</si>
  <si>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</si>
  <si>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</si>
  <si>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</si>
  <si>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</si>
  <si>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</si>
  <si>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</si>
  <si>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</si>
  <si>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</si>
  <si>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</si>
  <si>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</si>
  <si>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</si>
  <si>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</si>
  <si>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</si>
  <si>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</si>
  <si>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</si>
  <si>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</si>
  <si>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</si>
  <si>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</si>
  <si>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</si>
  <si>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</si>
  <si>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</si>
  <si>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</si>
  <si>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</si>
  <si>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</si>
  <si>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</si>
  <si>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</si>
  <si>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</si>
  <si>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</si>
  <si>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</si>
  <si>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</si>
  <si>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</si>
  <si>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</si>
  <si>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</si>
  <si>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</si>
  <si>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</si>
  <si>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</si>
  <si>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</si>
  <si>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</si>
  <si>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</si>
  <si>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</si>
  <si>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</si>
  <si>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</si>
  <si>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</si>
  <si>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</si>
  <si>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</si>
  <si>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</si>
  <si>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</si>
  <si>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</si>
  <si>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</si>
  <si>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</si>
  <si>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</si>
  <si>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</si>
  <si>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</si>
  <si>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</si>
  <si>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</si>
  <si>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</si>
  <si>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</si>
  <si>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</si>
  <si>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</si>
  <si>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</si>
  <si>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</si>
  <si>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</si>
  <si>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</si>
  <si>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</si>
  <si>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</si>
  <si>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</si>
  <si>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</si>
  <si>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</si>
  <si>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</si>
  <si>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</si>
  <si>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</si>
  <si>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</si>
  <si>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</si>
  <si>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</si>
  <si>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</si>
  <si>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</si>
  <si>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</si>
  <si>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</si>
  <si>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</si>
  <si>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</si>
  <si>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</si>
  <si>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</si>
  <si>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</si>
  <si>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</si>
  <si>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</si>
  <si>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</si>
  <si>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</si>
  <si>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</si>
  <si>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</si>
  <si>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</si>
  <si>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</si>
  <si>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</si>
  <si>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</si>
  <si>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</si>
  <si>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</si>
  <si>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</si>
  <si>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</si>
  <si>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</si>
  <si>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</si>
  <si>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</si>
  <si>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</si>
  <si>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</si>
  <si>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</si>
  <si>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</si>
  <si>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</si>
  <si>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</si>
  <si>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</si>
  <si>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</si>
  <si>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</si>
  <si>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</si>
  <si>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</si>
  <si>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</si>
  <si>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</si>
  <si>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</si>
  <si>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</si>
  <si>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</si>
  <si>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</si>
  <si>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</si>
  <si>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</si>
  <si>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</si>
  <si>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</si>
  <si>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</si>
  <si>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</si>
  <si>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</si>
  <si>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</si>
  <si>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</si>
  <si>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</si>
  <si>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</si>
  <si>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</si>
  <si>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</si>
  <si>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</si>
  <si>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</si>
  <si>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</si>
  <si>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</si>
  <si>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</si>
  <si>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</si>
  <si>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</si>
  <si>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</si>
  <si>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</si>
  <si>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</si>
  <si>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</si>
  <si>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</si>
  <si>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</si>
  <si>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</si>
  <si>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</si>
  <si>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</si>
  <si>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</si>
  <si>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</si>
  <si>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</si>
  <si>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</si>
  <si>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</si>
  <si>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</si>
  <si>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</si>
  <si>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</si>
  <si>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</si>
  <si>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</si>
  <si>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</si>
  <si>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</si>
  <si>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</si>
  <si>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</si>
  <si>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</si>
  <si>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</si>
  <si>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</si>
  <si>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</si>
  <si>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</si>
  <si>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</si>
  <si>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</si>
  <si>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</si>
  <si>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</si>
  <si>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</si>
  <si>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</si>
  <si>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</si>
  <si>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</si>
  <si>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</si>
  <si>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</si>
  <si>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</si>
  <si>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</si>
  <si>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</si>
  <si>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</si>
  <si>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</si>
  <si>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</si>
  <si>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</si>
  <si>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</si>
  <si>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</si>
  <si>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</si>
  <si>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</si>
  <si>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</si>
  <si>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</si>
  <si>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</si>
  <si>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</si>
  <si>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</si>
  <si>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</si>
  <si>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</si>
  <si>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</si>
  <si>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</si>
  <si>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</si>
  <si>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</si>
  <si>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</si>
  <si>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</si>
  <si>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</si>
  <si>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</si>
  <si>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</si>
  <si>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</si>
  <si>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</si>
  <si>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</si>
  <si>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</si>
  <si>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</si>
  <si>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</si>
  <si>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</si>
  <si>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</si>
  <si>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</si>
  <si>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</si>
  <si>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</si>
  <si>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</si>
  <si>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</si>
  <si>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</si>
  <si>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</si>
  <si>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</si>
  <si>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</si>
  <si>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</si>
  <si>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</si>
  <si>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</si>
  <si>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</si>
  <si>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</si>
  <si>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</si>
  <si>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</si>
  <si>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</si>
  <si>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</si>
  <si>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</si>
  <si>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</si>
  <si>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</si>
  <si>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</si>
  <si>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</si>
  <si>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</si>
  <si>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</si>
  <si>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</si>
  <si>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</si>
  <si>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</si>
  <si>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</si>
  <si>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</si>
  <si>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</si>
  <si>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</si>
  <si>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</si>
  <si>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</si>
  <si>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</si>
  <si>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</si>
  <si>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</si>
  <si>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</si>
  <si>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</si>
  <si>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</si>
  <si>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</si>
  <si>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</si>
  <si>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</si>
  <si>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</si>
  <si>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</si>
  <si>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</si>
  <si>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</si>
  <si>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</si>
  <si>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</si>
  <si>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</si>
  <si>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</si>
  <si>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</si>
  <si>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</si>
  <si>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</si>
  <si>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</si>
  <si>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</si>
  <si>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</si>
  <si>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</si>
  <si>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</si>
  <si>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</si>
  <si>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</si>
  <si>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</si>
  <si>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</si>
  <si>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</si>
  <si>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</si>
  <si>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</si>
  <si>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</si>
  <si>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</si>
  <si>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</si>
  <si>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</si>
  <si>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</si>
  <si>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</si>
  <si>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</si>
  <si>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</si>
  <si>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</si>
  <si>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</si>
  <si>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</si>
  <si>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</si>
  <si>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</si>
  <si>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</si>
  <si>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</si>
  <si>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</si>
  <si>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</si>
  <si>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</si>
  <si>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</si>
  <si>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</si>
  <si>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</si>
  <si>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</si>
  <si>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</si>
  <si>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</si>
  <si>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</si>
  <si>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</si>
  <si>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</si>
  <si>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</si>
  <si>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</si>
  <si>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</si>
  <si>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</si>
  <si>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</si>
  <si>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</si>
  <si>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</si>
  <si>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</si>
  <si>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</si>
  <si>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</si>
  <si>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</si>
  <si>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</si>
  <si>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</si>
  <si>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</si>
  <si>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</si>
  <si>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</si>
  <si>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</si>
  <si>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</si>
  <si>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</si>
  <si>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</si>
  <si>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</si>
  <si>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</si>
  <si>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</si>
  <si>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</si>
  <si>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</si>
  <si>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</si>
  <si>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</si>
  <si>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</si>
  <si>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</si>
  <si>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</si>
  <si>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</si>
  <si>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</si>
  <si>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</si>
  <si>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</si>
  <si>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</si>
  <si>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</si>
  <si>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</si>
  <si>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</si>
  <si>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</si>
  <si>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</si>
  <si>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</si>
  <si>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</si>
  <si>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</si>
  <si>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</si>
  <si>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</si>
  <si>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</si>
  <si>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</si>
  <si>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</si>
  <si>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</si>
  <si>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</si>
  <si>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</si>
  <si>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</si>
  <si>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</si>
  <si>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</si>
  <si>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</si>
  <si>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</si>
  <si>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</si>
  <si>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</si>
  <si>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</si>
  <si>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</si>
  <si>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</si>
  <si>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</si>
  <si>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</si>
  <si>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</si>
  <si>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</si>
  <si>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</si>
  <si>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</si>
  <si>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</si>
  <si>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</si>
  <si>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</si>
  <si>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</si>
  <si>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</si>
  <si>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</si>
  <si>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</si>
  <si>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</si>
  <si>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</si>
  <si>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</si>
  <si>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</si>
  <si>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</si>
  <si>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</si>
  <si>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</si>
  <si>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</si>
  <si>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</si>
  <si>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</si>
  <si>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</si>
  <si>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</si>
  <si>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</si>
  <si>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</si>
  <si>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</si>
  <si>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</si>
  <si>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</si>
  <si>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</si>
  <si>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</si>
  <si>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</si>
  <si>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</si>
  <si>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</si>
  <si>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</si>
  <si>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</si>
  <si>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</si>
  <si>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</si>
  <si>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</si>
  <si>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</si>
  <si>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</si>
  <si>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</si>
  <si>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</si>
  <si>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</si>
  <si>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</si>
  <si>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</si>
  <si>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</si>
  <si>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</si>
  <si>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</si>
  <si>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</si>
  <si>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</si>
  <si>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</si>
  <si>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</si>
  <si>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</si>
  <si>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</si>
  <si>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</si>
  <si>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</si>
  <si>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</si>
  <si>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</si>
  <si>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</si>
  <si>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</si>
  <si>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</si>
  <si>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</si>
  <si>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</si>
  <si>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</si>
  <si>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</si>
  <si>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</si>
  <si>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</si>
  <si>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</si>
  <si>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</si>
  <si>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</si>
  <si>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</si>
  <si>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</si>
  <si>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</si>
  <si>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</si>
  <si>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</si>
  <si>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</si>
  <si>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</si>
  <si>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</si>
  <si>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</si>
  <si>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</si>
  <si>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</si>
  <si>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</si>
  <si>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</si>
  <si>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</si>
  <si>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</si>
  <si>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</si>
  <si>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</si>
  <si>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</si>
  <si>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</si>
  <si>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</si>
  <si>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</si>
  <si>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</si>
  <si>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</si>
  <si>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</si>
  <si>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</si>
  <si>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</si>
  <si>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</si>
  <si>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</si>
  <si>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</si>
  <si>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</si>
  <si>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</si>
  <si>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</si>
  <si>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</si>
  <si>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</si>
  <si>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</si>
  <si>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</si>
  <si>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</si>
  <si>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</si>
  <si>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</si>
  <si>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</si>
  <si>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</si>
  <si>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</si>
  <si>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</si>
  <si>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</si>
  <si>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</si>
  <si>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</si>
  <si>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</si>
  <si>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</si>
  <si>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</si>
  <si>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</si>
  <si>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</si>
  <si>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</si>
  <si>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</si>
  <si>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</si>
  <si>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</si>
  <si>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</si>
  <si>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</si>
  <si>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</si>
  <si>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</si>
  <si>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</si>
  <si>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</si>
  <si>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</si>
  <si>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</si>
  <si>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</si>
  <si>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</si>
  <si>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</si>
  <si>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</si>
  <si>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</si>
  <si>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</si>
  <si>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</si>
  <si>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</si>
  <si>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</si>
  <si>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</si>
  <si>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</si>
  <si>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</si>
  <si>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</si>
  <si>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</si>
  <si>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</si>
  <si>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</si>
  <si>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</si>
  <si>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</si>
  <si>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</si>
  <si>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</si>
  <si>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</si>
  <si>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</si>
  <si>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</si>
  <si>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</si>
  <si>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</si>
  <si>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</si>
  <si>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</si>
  <si>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</si>
  <si>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</si>
  <si>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</si>
  <si>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</si>
  <si>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</si>
  <si>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</si>
  <si>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</si>
  <si>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</si>
  <si>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</si>
  <si>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</si>
  <si>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</si>
  <si>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</si>
  <si>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</si>
  <si>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</si>
  <si>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</si>
  <si>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</si>
  <si>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</si>
  <si>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</si>
  <si>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</si>
  <si>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</si>
  <si>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</si>
  <si>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</si>
  <si>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</si>
  <si>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</si>
  <si>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</si>
  <si>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</si>
  <si>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</si>
  <si>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</si>
  <si>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</si>
  <si>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</si>
  <si>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</si>
  <si>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</si>
  <si>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</si>
  <si>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</si>
  <si>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</si>
  <si>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</si>
  <si>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</si>
  <si>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</si>
  <si>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</si>
  <si>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</si>
  <si>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</si>
  <si>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</si>
  <si>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</si>
  <si>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</si>
  <si>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</si>
  <si>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</si>
  <si>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</si>
  <si>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</si>
  <si>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</si>
  <si>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</si>
  <si>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</si>
  <si>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</si>
  <si>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</si>
  <si>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</si>
  <si>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</si>
  <si>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</si>
  <si>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</si>
  <si>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</si>
  <si>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</si>
  <si>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</si>
  <si>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</si>
  <si>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</si>
  <si>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</si>
  <si>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</si>
  <si>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</si>
  <si>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</si>
  <si>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</si>
  <si>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</si>
  <si>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</si>
  <si>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</si>
  <si>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</si>
  <si>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</si>
  <si>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</si>
  <si>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</si>
  <si>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</si>
  <si>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</si>
  <si>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</si>
  <si>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</si>
  <si>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</si>
  <si>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</si>
  <si>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</si>
  <si>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</si>
  <si>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</si>
  <si>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</si>
  <si>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</si>
  <si>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</si>
  <si>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</si>
  <si>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</si>
  <si>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</si>
  <si>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</si>
  <si>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</si>
  <si>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</si>
  <si>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</si>
  <si>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</si>
  <si>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</si>
  <si>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</si>
  <si>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</si>
  <si>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</si>
  <si>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</si>
  <si>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</si>
  <si>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</si>
  <si>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</si>
  <si>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</si>
  <si>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</si>
  <si>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</si>
  <si>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</si>
  <si>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</si>
  <si>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</si>
  <si>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</si>
  <si>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</si>
  <si>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</si>
  <si>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</si>
  <si>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</si>
  <si>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</si>
  <si>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</si>
  <si>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</si>
  <si>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</si>
  <si>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</si>
  <si>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</si>
  <si>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</si>
  <si>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</si>
  <si>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</si>
  <si>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</si>
  <si>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</si>
  <si>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</si>
  <si>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</si>
  <si>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</si>
  <si>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</si>
  <si>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</si>
  <si>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</si>
  <si>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</si>
  <si>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</si>
  <si>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</si>
  <si>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</si>
  <si>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</si>
  <si>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</si>
  <si>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</si>
  <si>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</si>
  <si>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</si>
  <si>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</si>
  <si>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</si>
  <si>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</si>
  <si>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</si>
  <si>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</si>
  <si>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</si>
  <si>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</si>
  <si>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</si>
  <si>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</si>
  <si>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</si>
  <si>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</si>
  <si>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</si>
  <si>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</si>
  <si>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</si>
  <si>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</si>
  <si>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</si>
  <si>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</si>
  <si>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</si>
  <si>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</si>
  <si>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</si>
  <si>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</si>
  <si>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</si>
  <si>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</si>
  <si>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</si>
  <si>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</si>
  <si>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</si>
  <si>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</si>
  <si>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</si>
  <si>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</si>
  <si>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</si>
  <si>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</si>
  <si>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</si>
  <si>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</si>
  <si>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</si>
  <si>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</si>
  <si>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</si>
  <si>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</si>
  <si>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</si>
  <si>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</si>
  <si>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</si>
  <si>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</si>
  <si>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</si>
  <si>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</si>
  <si>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</si>
  <si>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</si>
  <si>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</si>
  <si>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</si>
  <si>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</si>
  <si>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</si>
  <si>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</si>
  <si>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</si>
  <si>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</si>
  <si>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</si>
  <si>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</si>
  <si>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</si>
  <si>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</si>
  <si>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</si>
  <si>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</si>
  <si>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</si>
  <si>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</si>
  <si>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</si>
  <si>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</si>
  <si>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</si>
  <si>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</si>
  <si>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</si>
  <si>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</si>
  <si>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</si>
  <si>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</si>
  <si>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</si>
  <si>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</si>
  <si>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</si>
  <si>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</si>
  <si>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</si>
  <si>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</si>
  <si>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</si>
  <si>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</si>
  <si>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</si>
  <si>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</si>
  <si>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</si>
  <si>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</si>
  <si>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</si>
  <si>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</si>
  <si>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</si>
  <si>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</si>
  <si>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</si>
  <si>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</si>
  <si>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</si>
  <si>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</si>
  <si>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</si>
  <si>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</si>
  <si>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</si>
  <si>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</si>
  <si>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</si>
  <si>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</si>
  <si>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</si>
  <si>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</si>
  <si>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</si>
  <si>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</si>
  <si>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</si>
  <si>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</si>
  <si>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</si>
  <si>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</si>
  <si>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</si>
  <si>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</si>
  <si>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</si>
  <si>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</si>
  <si>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</si>
  <si>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</si>
  <si>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</si>
  <si>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</si>
  <si>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</si>
  <si>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</si>
  <si>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</si>
  <si>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</si>
  <si>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</si>
  <si>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</si>
  <si>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</si>
  <si>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</si>
  <si>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</si>
  <si>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</si>
  <si>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</si>
  <si>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</si>
  <si>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</si>
  <si>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</si>
  <si>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</si>
  <si>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</si>
  <si>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</si>
  <si>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</si>
  <si>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</si>
  <si>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</si>
  <si>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</si>
  <si>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</si>
  <si>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</si>
  <si>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</si>
  <si>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</si>
  <si>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</si>
  <si>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</si>
  <si>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</si>
  <si>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</si>
  <si>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</si>
  <si>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</si>
  <si>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</si>
  <si>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</si>
  <si>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</si>
  <si>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</si>
  <si>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</si>
  <si>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</si>
  <si>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</si>
  <si>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</si>
  <si>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</si>
  <si>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</si>
  <si>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</si>
  <si>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</si>
  <si>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</si>
  <si>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</si>
  <si>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</si>
  <si>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</si>
  <si>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</si>
  <si>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</si>
  <si>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</si>
  <si>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</si>
  <si>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</si>
  <si>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</si>
  <si>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</si>
  <si>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</si>
  <si>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</si>
  <si>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</si>
  <si>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</si>
  <si>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</si>
  <si>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</si>
  <si>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</si>
  <si>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</si>
  <si>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</si>
  <si>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</si>
  <si>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</si>
  <si>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</si>
  <si>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</si>
  <si>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</si>
  <si>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</si>
  <si>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</si>
  <si>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</si>
  <si>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</si>
  <si>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</si>
  <si>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</si>
  <si>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</si>
  <si>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</si>
  <si>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</si>
  <si>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</si>
  <si>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</si>
  <si>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</si>
  <si>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</si>
  <si>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</si>
  <si>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</si>
  <si>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</si>
  <si>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</si>
  <si>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</si>
  <si>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</si>
  <si>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</si>
  <si>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</si>
  <si>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</si>
  <si>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</si>
  <si>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</si>
  <si>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</si>
  <si>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</si>
  <si>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</si>
  <si>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</si>
  <si>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</si>
  <si>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</si>
  <si>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</si>
  <si>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</si>
  <si>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</si>
  <si>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</si>
  <si>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</si>
  <si>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</si>
  <si>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</si>
  <si>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</si>
  <si>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</si>
  <si>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</si>
  <si>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</si>
  <si>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</si>
  <si>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</si>
  <si>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</si>
  <si>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</si>
  <si>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</si>
  <si>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</si>
  <si>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</si>
  <si>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</si>
  <si>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</si>
  <si>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</si>
  <si>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</si>
  <si>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</si>
  <si>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</si>
  <si>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</si>
  <si>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</si>
  <si>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</si>
  <si>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</si>
  <si>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</si>
  <si>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</si>
  <si>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</si>
  <si>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</si>
  <si>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</si>
  <si>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</si>
  <si>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</si>
  <si>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</si>
  <si>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</si>
  <si>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</si>
  <si>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</si>
  <si>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</si>
  <si>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</si>
  <si>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</si>
  <si>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</si>
  <si>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</si>
  <si>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</si>
  <si>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</si>
  <si>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</si>
  <si>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</si>
  <si>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</si>
  <si>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</si>
  <si>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</si>
  <si>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</si>
  <si>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</si>
  <si>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</si>
  <si>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</si>
  <si>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</si>
  <si>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</si>
  <si>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</si>
  <si>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</si>
  <si>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</si>
  <si>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</si>
  <si>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</si>
  <si>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</si>
  <si>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</si>
  <si>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</si>
  <si>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</si>
  <si>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</si>
  <si>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</si>
  <si>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</si>
  <si>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</si>
  <si>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</si>
  <si>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</si>
  <si>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</si>
  <si>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</si>
  <si>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</si>
  <si>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</si>
  <si>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</si>
  <si>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</si>
  <si>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</si>
  <si>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</si>
  <si>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</si>
  <si>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</si>
  <si>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</si>
  <si>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</si>
  <si>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</si>
  <si>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</si>
  <si>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</si>
  <si>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</si>
  <si>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</si>
  <si>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</si>
  <si>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</si>
  <si>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</si>
  <si>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</si>
  <si>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</si>
  <si>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</si>
  <si>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</si>
  <si>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</si>
  <si>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</si>
  <si>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</si>
  <si>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</si>
  <si>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</si>
  <si>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</si>
  <si>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</si>
  <si>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</si>
  <si>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</si>
  <si>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</si>
  <si>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</si>
  <si>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</si>
  <si>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</si>
  <si>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</si>
  <si>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</si>
  <si>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</si>
  <si>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</si>
  <si>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</si>
  <si>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</si>
  <si>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</si>
  <si>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</si>
  <si>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</si>
  <si>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</si>
  <si>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</si>
  <si>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</si>
  <si>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</si>
  <si>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</si>
  <si>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</si>
  <si>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</si>
  <si>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</si>
  <si>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</si>
  <si>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</si>
  <si>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</si>
  <si>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</si>
  <si>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</si>
  <si>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</si>
  <si>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</si>
  <si>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</si>
  <si>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</si>
  <si>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</si>
  <si>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</si>
  <si>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</si>
  <si>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</si>
  <si>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</si>
  <si>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</si>
  <si>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</si>
  <si>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</si>
  <si>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</si>
  <si>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</si>
  <si>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</si>
  <si>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</si>
  <si>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</si>
  <si>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</si>
  <si>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</si>
  <si>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</si>
  <si>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</si>
  <si>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</si>
  <si>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</si>
  <si>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</si>
  <si>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</si>
  <si>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</si>
  <si>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</si>
  <si>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</si>
  <si>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</si>
  <si>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</si>
  <si>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</si>
  <si>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</si>
  <si>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</si>
  <si>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</si>
  <si>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</si>
  <si>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</si>
  <si>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</si>
  <si>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</si>
  <si>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</si>
  <si>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</si>
  <si>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</si>
  <si>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</si>
  <si>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</si>
  <si>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</si>
  <si>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</si>
  <si>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</si>
  <si>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</si>
  <si>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</si>
  <si>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</si>
  <si>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</si>
  <si>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</si>
  <si>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</si>
  <si>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</si>
  <si>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</si>
  <si>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</si>
  <si>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</si>
  <si>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</si>
  <si>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</si>
  <si>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</si>
  <si>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</si>
  <si>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</si>
  <si>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</si>
  <si>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</si>
  <si>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</si>
  <si>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</si>
  <si>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</si>
  <si>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</si>
  <si>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</si>
  <si>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</si>
  <si>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</si>
  <si>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</si>
  <si>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</si>
  <si>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</si>
  <si>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</si>
  <si>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</si>
  <si>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</si>
  <si>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</si>
  <si>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</si>
  <si>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</si>
  <si>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</si>
  <si>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</si>
  <si>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</si>
  <si>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</si>
  <si>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</si>
  <si>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</si>
  <si>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</si>
  <si>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</si>
  <si>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</si>
  <si>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</si>
  <si>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</si>
  <si>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</si>
  <si>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</si>
  <si>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</si>
  <si>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</si>
  <si>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</si>
  <si>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</si>
  <si>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</si>
  <si>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</si>
  <si>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</si>
  <si>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</si>
  <si>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</si>
  <si>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</si>
  <si>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</si>
  <si>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</si>
  <si>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</si>
  <si>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</si>
  <si>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</si>
  <si>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</si>
  <si>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</si>
  <si>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</si>
  <si>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</si>
  <si>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</si>
  <si>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</si>
  <si>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</si>
  <si>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</si>
  <si>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</si>
  <si>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</si>
  <si>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</si>
  <si>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</si>
  <si>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</si>
  <si>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</si>
  <si>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</si>
  <si>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</si>
  <si>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</si>
  <si>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</si>
  <si>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</si>
  <si>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</si>
  <si>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</si>
  <si>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</si>
  <si>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</si>
  <si>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</si>
  <si>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</si>
  <si>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</si>
  <si>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</si>
  <si>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</si>
  <si>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</si>
  <si>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</si>
  <si>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</si>
  <si>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</si>
  <si>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</si>
  <si>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</si>
  <si>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</si>
  <si>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</si>
  <si>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</si>
  <si>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</si>
  <si>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</si>
  <si>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</si>
  <si>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</si>
  <si>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</si>
  <si>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</si>
  <si>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</si>
  <si>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</si>
  <si>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</si>
  <si>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</si>
  <si>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</si>
  <si>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</si>
  <si>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</si>
  <si>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</si>
  <si>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</si>
  <si>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</si>
  <si>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</si>
  <si>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</si>
  <si>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</si>
  <si>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</si>
  <si>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</si>
  <si>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</si>
  <si>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</si>
  <si>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</si>
  <si>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</si>
  <si>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</si>
  <si>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</si>
  <si>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</si>
  <si>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</si>
  <si>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</si>
  <si>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</si>
  <si>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</si>
  <si>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</si>
  <si>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</si>
  <si>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</si>
  <si>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</si>
  <si>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</si>
  <si>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</si>
  <si>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</si>
  <si>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</si>
  <si>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</si>
  <si>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</si>
  <si>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</si>
  <si>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</si>
  <si>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</si>
  <si>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</si>
  <si>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</si>
  <si>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</si>
  <si>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</si>
  <si>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</si>
  <si>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</si>
  <si>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</si>
  <si>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</si>
  <si>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</si>
  <si>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</si>
  <si>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</si>
  <si>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</si>
  <si>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</si>
  <si>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</si>
  <si>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</si>
  <si>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</si>
  <si>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</si>
  <si>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</si>
  <si>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</si>
  <si>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</si>
  <si>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</si>
  <si>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</si>
  <si>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</si>
  <si>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</si>
  <si>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</si>
  <si>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</si>
  <si>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</si>
  <si>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</si>
  <si>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</si>
  <si>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</si>
  <si>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</si>
  <si>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</si>
  <si>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</si>
  <si>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</si>
  <si>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</si>
  <si>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</si>
  <si>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</si>
  <si>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</si>
  <si>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</si>
  <si>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</si>
  <si>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</si>
  <si>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</si>
  <si>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</si>
  <si>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</si>
  <si>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</si>
  <si>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</si>
  <si>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</si>
  <si>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</si>
  <si>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</si>
  <si>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</si>
  <si>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</si>
  <si>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</si>
  <si>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</si>
  <si>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</si>
  <si>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</si>
  <si>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</si>
  <si>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</si>
  <si>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</si>
  <si>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</si>
  <si>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</si>
  <si>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</si>
  <si>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</si>
  <si>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</si>
  <si>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</si>
  <si>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</si>
  <si>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</si>
  <si>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</si>
  <si>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</si>
  <si>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</si>
  <si>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</si>
  <si>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</si>
  <si>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</si>
  <si>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</si>
  <si>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</si>
  <si>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</si>
  <si>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</si>
  <si>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</si>
  <si>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</si>
  <si>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</si>
  <si>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</si>
  <si>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</si>
  <si>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</si>
  <si>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</si>
  <si>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</si>
  <si>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</si>
  <si>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</si>
  <si>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</si>
  <si>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</si>
  <si>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</si>
  <si>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</si>
  <si>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</si>
  <si>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</si>
  <si>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</si>
  <si>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</si>
  <si>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</si>
  <si>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</si>
  <si>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</si>
  <si>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</si>
  <si>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</si>
  <si>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</si>
  <si>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</si>
  <si>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</si>
  <si>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</si>
  <si>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</si>
  <si>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</si>
  <si>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</si>
  <si>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</si>
  <si>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</si>
  <si>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</si>
  <si>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</si>
  <si>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</si>
  <si>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</si>
  <si>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</si>
  <si>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</si>
  <si>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</si>
  <si>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</si>
  <si>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</si>
  <si>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</si>
  <si>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</si>
  <si>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</si>
  <si>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</si>
  <si>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</si>
  <si>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</si>
  <si>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</si>
  <si>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</si>
  <si>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</si>
  <si>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</si>
  <si>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</si>
  <si>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</si>
  <si>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</si>
  <si>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</si>
  <si>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</si>
  <si>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</si>
  <si>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</si>
  <si>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</si>
  <si>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</si>
  <si>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</si>
  <si>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</si>
  <si>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</si>
  <si>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</si>
  <si>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</si>
  <si>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</si>
  <si>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</si>
  <si>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</si>
  <si>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</si>
  <si>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</si>
  <si>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</si>
  <si>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</si>
  <si>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</si>
  <si>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</si>
  <si>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</si>
  <si>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</si>
  <si>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</si>
  <si>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</si>
  <si>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</si>
  <si>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</si>
  <si>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</si>
  <si>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</si>
  <si>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</si>
  <si>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</si>
  <si>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</si>
  <si>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</si>
  <si>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</si>
  <si>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</si>
  <si>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</si>
  <si>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</si>
  <si>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</si>
  <si>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</si>
  <si>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</si>
  <si>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</si>
  <si>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</si>
  <si>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</si>
  <si>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</si>
  <si>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</si>
  <si>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</si>
  <si>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</si>
  <si>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</si>
  <si>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</si>
  <si>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</si>
  <si>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</si>
  <si>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</si>
  <si>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</si>
  <si>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</si>
  <si>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</si>
  <si>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</si>
  <si>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</si>
  <si>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</si>
  <si>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</si>
  <si>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</si>
  <si>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</si>
  <si>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</si>
  <si>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</si>
  <si>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</si>
  <si>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</si>
  <si>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</si>
  <si>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</si>
  <si>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</si>
  <si>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</si>
  <si>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</si>
  <si>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</si>
  <si>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</si>
  <si>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</si>
  <si>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</si>
  <si>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</si>
  <si>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</si>
  <si>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</si>
  <si>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</si>
  <si>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</si>
  <si>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</si>
  <si>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</si>
  <si>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</si>
  <si>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</si>
  <si>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</si>
  <si>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</si>
  <si>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</si>
  <si>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</si>
  <si>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</si>
  <si>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</si>
  <si>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</si>
  <si>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</si>
  <si>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</si>
  <si>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</si>
  <si>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</si>
  <si>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</si>
  <si>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</si>
  <si>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</si>
  <si>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</si>
  <si>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</si>
  <si>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</si>
  <si>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</si>
  <si>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</si>
  <si>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</si>
  <si>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</si>
  <si>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</si>
  <si>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</si>
  <si>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</si>
  <si>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</si>
  <si>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</si>
  <si>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</si>
  <si>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</si>
  <si>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</si>
  <si>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</si>
  <si>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</si>
  <si>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</si>
  <si>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</si>
  <si>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</si>
  <si>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</si>
  <si>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</si>
  <si>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</si>
  <si>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</si>
  <si>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</si>
  <si>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</si>
  <si>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</si>
  <si>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</si>
  <si>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</si>
  <si>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</si>
  <si>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</si>
  <si>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</si>
  <si>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</si>
  <si>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</si>
  <si>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</si>
  <si>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</si>
  <si>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</si>
  <si>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</si>
  <si>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</si>
  <si>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</si>
  <si>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</si>
  <si>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</si>
  <si>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</si>
  <si>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</si>
  <si>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</si>
  <si>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</si>
  <si>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</si>
  <si>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</si>
  <si>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</si>
  <si>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</si>
  <si>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</si>
  <si>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</si>
  <si>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</si>
  <si>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</si>
  <si>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</si>
  <si>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</si>
  <si>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</si>
  <si>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</si>
  <si>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</si>
  <si>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</si>
  <si>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</si>
  <si>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</si>
  <si>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</si>
  <si>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</si>
  <si>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</si>
  <si>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</si>
  <si>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</si>
  <si>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</si>
  <si>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</si>
  <si>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</si>
  <si>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</si>
  <si>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</si>
  <si>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</si>
  <si>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</si>
  <si>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</si>
  <si>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</si>
  <si>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</si>
  <si>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</si>
  <si>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</si>
  <si>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</si>
  <si>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</si>
  <si>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</si>
  <si>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</si>
  <si>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</si>
  <si>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</si>
  <si>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</si>
  <si>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</si>
  <si>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</si>
  <si>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</si>
  <si>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</si>
  <si>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</si>
  <si>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</si>
  <si>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</si>
  <si>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</si>
  <si>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</si>
  <si>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</si>
  <si>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</si>
  <si>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</si>
  <si>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</si>
  <si>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</si>
  <si>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</si>
  <si>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</si>
  <si>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</si>
  <si>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</si>
  <si>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</si>
  <si>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</si>
  <si>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</si>
  <si>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</si>
  <si>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</si>
  <si>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</si>
  <si>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</si>
  <si>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</si>
  <si>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</si>
  <si>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</si>
  <si>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</si>
  <si>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</si>
  <si>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</si>
  <si>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</si>
  <si>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</si>
  <si>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</si>
  <si>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</si>
  <si>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</si>
  <si>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</si>
  <si>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</si>
  <si>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</si>
  <si>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</si>
  <si>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</si>
  <si>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</si>
  <si>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</si>
  <si>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</si>
  <si>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</si>
  <si>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</si>
  <si>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</si>
  <si>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</si>
  <si>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</si>
  <si>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</si>
  <si>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</si>
  <si>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</si>
  <si>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</si>
  <si>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</si>
  <si>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</si>
  <si>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</si>
  <si>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</si>
  <si>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</si>
  <si>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</si>
  <si>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</si>
  <si>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</si>
  <si>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</si>
  <si>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</si>
  <si>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</si>
  <si>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</si>
  <si>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</si>
  <si>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</si>
  <si>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</si>
  <si>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</si>
  <si>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</si>
  <si>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</si>
  <si>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</si>
  <si>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</si>
  <si>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</si>
  <si>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</si>
  <si>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</si>
  <si>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</si>
  <si>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</si>
  <si>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</si>
  <si>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</si>
  <si>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</si>
  <si>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</si>
  <si>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</si>
  <si>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</si>
  <si>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</si>
  <si>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</si>
  <si>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</si>
  <si>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</si>
  <si>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</si>
  <si>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</si>
  <si>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</si>
  <si>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</si>
  <si>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</si>
  <si>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</si>
  <si>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</si>
  <si>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</si>
  <si>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</si>
  <si>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</si>
  <si>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</si>
  <si>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</si>
  <si>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</si>
  <si>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</si>
  <si>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</si>
  <si>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</si>
  <si>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</si>
  <si>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</si>
  <si>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</si>
  <si>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</si>
  <si>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</si>
  <si>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</si>
  <si>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</si>
  <si>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</si>
  <si>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</si>
  <si>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</si>
  <si>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</si>
  <si>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</si>
  <si>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</si>
  <si>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</si>
  <si>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</si>
  <si>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</si>
  <si>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</si>
  <si>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</si>
  <si>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</si>
  <si>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</si>
  <si>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</si>
  <si>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</si>
  <si>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</si>
  <si>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</si>
  <si>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</si>
  <si>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</si>
  <si>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</si>
  <si>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</si>
  <si>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</si>
  <si>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</si>
  <si>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</si>
  <si>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</si>
  <si>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</si>
  <si>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</si>
  <si>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</si>
  <si>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</si>
  <si>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</si>
  <si>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</si>
  <si>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</si>
  <si>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</si>
  <si>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</si>
  <si>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</si>
  <si>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</si>
  <si>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</si>
  <si>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</si>
  <si>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</si>
  <si>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</si>
  <si>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</si>
  <si>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</si>
  <si>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</si>
  <si>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</si>
  <si>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</si>
  <si>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</si>
  <si>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</si>
  <si>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</si>
  <si>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</si>
  <si>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</si>
  <si>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</si>
  <si>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</si>
  <si>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</si>
  <si>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</si>
  <si>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</si>
  <si>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</si>
  <si>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</si>
  <si>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</si>
  <si>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</si>
  <si>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</si>
  <si>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</si>
  <si>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</si>
  <si>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</si>
  <si>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</si>
  <si>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</si>
  <si>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</si>
  <si>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</si>
  <si>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</si>
  <si>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</si>
  <si>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</si>
  <si>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</si>
  <si>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</si>
  <si>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</si>
  <si>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</si>
  <si>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</si>
  <si>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</si>
  <si>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</si>
  <si>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</si>
  <si>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</si>
  <si>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</si>
  <si>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</si>
  <si>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</si>
  <si>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</si>
  <si>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</si>
  <si>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</si>
  <si>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</si>
  <si>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</si>
  <si>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</si>
  <si>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</si>
  <si>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</si>
  <si>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</si>
  <si>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</si>
  <si>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</si>
  <si>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</si>
  <si>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</si>
  <si>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</si>
  <si>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</si>
  <si>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</si>
  <si>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</si>
  <si>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</si>
  <si>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</si>
  <si>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</si>
  <si>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</si>
  <si>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</si>
  <si>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</si>
  <si>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</si>
  <si>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</si>
  <si>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</si>
  <si>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</si>
  <si>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</si>
  <si>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</si>
  <si>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</si>
  <si>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</si>
  <si>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</si>
  <si>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</si>
  <si>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</si>
  <si>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</si>
  <si>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</si>
  <si>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</si>
  <si>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</si>
  <si>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</si>
  <si>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</si>
  <si>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</si>
  <si>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</si>
  <si>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</si>
  <si>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</si>
  <si>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</si>
  <si>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</si>
  <si>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</si>
  <si>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</si>
  <si>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</si>
  <si>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</si>
  <si>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</si>
  <si>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</si>
  <si>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</si>
  <si>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</si>
  <si>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</si>
  <si>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</si>
  <si>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</si>
  <si>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</si>
  <si>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</si>
  <si>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</si>
  <si>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</si>
  <si>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</si>
  <si>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</si>
  <si>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</si>
  <si>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</si>
  <si>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</si>
  <si>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</si>
  <si>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</si>
  <si>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</si>
  <si>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</si>
  <si>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</si>
  <si>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</si>
  <si>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</si>
  <si>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</si>
  <si>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</si>
  <si>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</si>
  <si>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</si>
  <si>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</si>
  <si>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</si>
  <si>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</si>
  <si>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</si>
  <si>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</si>
  <si>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</si>
  <si>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</si>
  <si>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</si>
  <si>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</si>
  <si>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</si>
  <si>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</si>
  <si>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</si>
  <si>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</si>
  <si>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</si>
  <si>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</si>
  <si>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</si>
  <si>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</si>
  <si>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</si>
  <si>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</si>
  <si>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</si>
  <si>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</si>
  <si>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</si>
  <si>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</si>
  <si>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</si>
  <si>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</si>
  <si>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</si>
  <si>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</si>
  <si>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</si>
  <si>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</si>
  <si>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</si>
  <si>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</si>
  <si>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</si>
  <si>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</si>
  <si>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</si>
  <si>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</si>
  <si>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</si>
  <si>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</si>
  <si>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</si>
  <si>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</si>
  <si>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</si>
  <si>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</si>
  <si>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</si>
  <si>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</si>
  <si>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</si>
  <si>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</si>
  <si>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</si>
  <si>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</si>
  <si>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</si>
  <si>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</si>
  <si>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</si>
  <si>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</si>
  <si>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</si>
  <si>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</si>
  <si>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</si>
  <si>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</si>
  <si>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</si>
  <si>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</si>
  <si>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</si>
  <si>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</si>
  <si>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</si>
  <si>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</si>
  <si>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</si>
  <si>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</si>
  <si>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</si>
  <si>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</si>
  <si>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</si>
  <si>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</si>
  <si>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</si>
  <si>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</si>
  <si>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</si>
  <si>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</si>
  <si>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</si>
  <si>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</si>
  <si>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</si>
  <si>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</si>
  <si>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</si>
  <si>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</si>
  <si>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</si>
  <si>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</si>
  <si>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</si>
  <si>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</si>
  <si>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</si>
  <si>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</si>
  <si>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</si>
  <si>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</si>
  <si>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</si>
  <si>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</si>
  <si>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</si>
  <si>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</si>
  <si>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</si>
  <si>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</si>
  <si>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</si>
  <si>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</si>
  <si>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</si>
  <si>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</si>
  <si>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</si>
  <si>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</si>
  <si>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</si>
  <si>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</si>
  <si>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</si>
  <si>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</si>
  <si>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</si>
  <si>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</si>
  <si>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</si>
  <si>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</si>
  <si>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</si>
  <si>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</si>
  <si>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</si>
  <si>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</si>
  <si>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</si>
  <si>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</si>
  <si>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</si>
  <si>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</si>
  <si>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</si>
  <si>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</si>
  <si>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</si>
  <si>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</si>
  <si>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</si>
  <si>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</si>
  <si>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</si>
  <si>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</si>
  <si>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</si>
  <si>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</si>
  <si>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</si>
  <si>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</si>
  <si>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</si>
  <si>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</si>
  <si>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</si>
  <si>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</si>
  <si>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</si>
  <si>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</si>
  <si>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</si>
  <si>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</si>
  <si>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</si>
  <si>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</si>
  <si>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</si>
  <si>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</si>
  <si>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</si>
  <si>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</si>
  <si>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</si>
  <si>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</si>
  <si>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</si>
  <si>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</si>
  <si>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</si>
  <si>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</si>
  <si>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</si>
  <si>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</si>
  <si>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</si>
  <si>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</si>
  <si>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</si>
  <si>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</si>
  <si>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</si>
  <si>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</si>
  <si>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</si>
  <si>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</si>
  <si>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</si>
  <si>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</si>
  <si>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</si>
  <si>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</si>
  <si>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</si>
  <si>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</si>
  <si>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</si>
  <si>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</si>
  <si>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</si>
  <si>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</si>
  <si>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</si>
  <si>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</si>
  <si>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</si>
  <si>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</si>
  <si>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</si>
  <si>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</si>
  <si>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</si>
  <si>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</si>
  <si>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</si>
  <si>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</si>
  <si>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</si>
  <si>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</si>
  <si>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</si>
  <si>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</si>
  <si>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</si>
  <si>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</si>
  <si>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</si>
  <si>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</si>
  <si>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</si>
  <si>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</si>
  <si>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</si>
  <si>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</si>
  <si>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</si>
  <si>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</si>
  <si>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</si>
  <si>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</si>
  <si>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</si>
  <si>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</si>
  <si>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</si>
  <si>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</si>
  <si>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</si>
  <si>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</si>
  <si>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</si>
  <si>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</si>
  <si>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</si>
  <si>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</si>
  <si>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</si>
  <si>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</si>
  <si>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</si>
  <si>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</si>
  <si>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</si>
  <si>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</si>
  <si>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</si>
  <si>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</si>
  <si>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</si>
  <si>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</si>
  <si>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</si>
  <si>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</si>
  <si>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</si>
  <si>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</si>
  <si>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</si>
  <si>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</si>
  <si>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</si>
  <si>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</si>
  <si>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</si>
  <si>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</si>
  <si>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</si>
  <si>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</si>
  <si>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</si>
  <si>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</si>
  <si>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</si>
  <si>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</si>
  <si>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</si>
  <si>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</si>
  <si>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</si>
  <si>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</si>
  <si>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</si>
  <si>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</si>
  <si>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</si>
  <si>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</si>
  <si>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</si>
  <si>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</si>
  <si>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</si>
  <si>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</si>
  <si>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</si>
  <si>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</si>
  <si>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</si>
  <si>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</si>
  <si>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</si>
  <si>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</si>
  <si>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</si>
  <si>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</si>
  <si>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</si>
  <si>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</si>
  <si>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</si>
  <si>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</si>
  <si>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</si>
  <si>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</si>
  <si>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</si>
  <si>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</si>
  <si>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</si>
  <si>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</si>
  <si>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</si>
  <si>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</si>
  <si>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</si>
  <si>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</si>
  <si>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</si>
  <si>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</si>
  <si>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</si>
  <si>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</si>
  <si>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</si>
  <si>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</si>
  <si>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</si>
  <si>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</si>
  <si>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</si>
  <si>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</si>
  <si>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</si>
  <si>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</si>
  <si>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</si>
  <si>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</si>
  <si>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</si>
  <si>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</si>
  <si>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</si>
  <si>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</si>
  <si>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</si>
  <si>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</si>
  <si>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</si>
  <si>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</si>
  <si>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</si>
  <si>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</si>
  <si>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</si>
  <si>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</si>
  <si>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</si>
  <si>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</si>
  <si>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</si>
  <si>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</si>
  <si>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</si>
  <si>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</si>
  <si>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</si>
  <si>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</si>
  <si>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</si>
  <si>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</si>
  <si>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</si>
  <si>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</si>
  <si>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</si>
  <si>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</si>
  <si>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</si>
  <si>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</si>
  <si>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</si>
  <si>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</si>
  <si>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</si>
  <si>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</si>
  <si>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</si>
  <si>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</si>
  <si>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</si>
  <si>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</si>
  <si>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</si>
  <si>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</si>
  <si>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</si>
  <si>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</si>
  <si>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</si>
  <si>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</si>
  <si>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</si>
  <si>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</si>
  <si>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</si>
  <si>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</si>
  <si>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</si>
  <si>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</si>
  <si>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</si>
  <si>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</si>
  <si>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</si>
  <si>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</si>
  <si>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</si>
  <si>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</si>
  <si>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</si>
  <si>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</si>
  <si>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</si>
  <si>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</si>
  <si>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</si>
  <si>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</si>
  <si>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</si>
  <si>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</si>
  <si>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</si>
  <si>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</si>
  <si>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</si>
  <si>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</si>
  <si>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</si>
  <si>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</si>
  <si>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</si>
  <si>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</si>
  <si>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</si>
  <si>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</si>
  <si>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</si>
  <si>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</si>
  <si>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</si>
  <si>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</si>
  <si>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</si>
  <si>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</si>
  <si>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</si>
  <si>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</si>
  <si>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</si>
  <si>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</si>
  <si>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</si>
  <si>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</si>
  <si>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</si>
  <si>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</si>
  <si>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</si>
  <si>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</si>
  <si>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</si>
  <si>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</si>
  <si>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</si>
  <si>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</si>
  <si>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</si>
  <si>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</si>
  <si>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</si>
  <si>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</si>
  <si>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</si>
  <si>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</si>
  <si>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</si>
  <si>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</si>
  <si>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</si>
  <si>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</si>
  <si>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</si>
  <si>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</si>
  <si>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</si>
  <si>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</si>
  <si>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</si>
  <si>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</si>
  <si>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</si>
  <si>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</si>
  <si>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</si>
  <si>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</si>
  <si>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</si>
  <si>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</si>
  <si>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</si>
  <si>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</si>
  <si>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</si>
  <si>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</si>
  <si>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</si>
  <si>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</si>
  <si>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</si>
  <si>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</si>
  <si>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</si>
  <si>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</si>
  <si>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</si>
  <si>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</si>
  <si>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</si>
  <si>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</si>
  <si>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</si>
  <si>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</si>
  <si>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</si>
  <si>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</si>
  <si>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</si>
  <si>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</si>
  <si>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</si>
  <si>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</si>
  <si>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</si>
  <si>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</si>
  <si>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</si>
  <si>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</si>
  <si>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</si>
  <si>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</si>
  <si>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</si>
  <si>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</si>
  <si>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</si>
  <si>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</si>
  <si>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</si>
  <si>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</si>
  <si>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</si>
  <si>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</si>
  <si>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</si>
  <si>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</si>
  <si>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</si>
  <si>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</si>
  <si>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</si>
  <si>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</si>
  <si>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</si>
  <si>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</si>
  <si>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</si>
  <si>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</si>
  <si>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</si>
  <si>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</si>
  <si>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</si>
  <si>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</si>
  <si>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</si>
  <si>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</si>
  <si>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</si>
  <si>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</si>
  <si>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</si>
  <si>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</si>
  <si>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</si>
  <si>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</si>
  <si>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</si>
  <si>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</si>
  <si>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</si>
  <si>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</si>
  <si>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</si>
  <si>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</si>
  <si>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</si>
  <si>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</si>
  <si>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</si>
  <si>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</si>
  <si>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</si>
  <si>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</si>
  <si>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</si>
  <si>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</si>
  <si>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</si>
  <si>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</si>
  <si>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</si>
  <si>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</si>
  <si>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</si>
  <si>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</si>
  <si>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</si>
  <si>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</si>
  <si>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</si>
  <si>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</si>
  <si>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</si>
  <si>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</si>
  <si>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</si>
  <si>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</si>
  <si>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</si>
  <si>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</si>
  <si>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</si>
  <si>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</si>
  <si>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</si>
  <si>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</si>
  <si>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</si>
  <si>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</si>
  <si>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</si>
  <si>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</si>
  <si>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</si>
  <si>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</si>
  <si>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</si>
  <si>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</si>
  <si>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</si>
  <si>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</si>
  <si>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</si>
  <si>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</si>
  <si>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</si>
  <si>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</si>
  <si>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</si>
  <si>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</si>
  <si>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</si>
  <si>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</si>
  <si>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</si>
  <si>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</si>
  <si>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</si>
  <si>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</si>
  <si>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</si>
  <si>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</si>
  <si>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</si>
  <si>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</si>
  <si>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</si>
  <si>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</si>
  <si>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</si>
  <si>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</si>
  <si>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</si>
  <si>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</si>
  <si>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</si>
  <si>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</si>
  <si>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</si>
  <si>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</si>
  <si>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</si>
  <si>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</si>
  <si>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</si>
  <si>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</si>
  <si>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</si>
  <si>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</si>
  <si>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</si>
  <si>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</si>
  <si>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</si>
  <si>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</si>
  <si>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</si>
  <si>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</si>
  <si>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</si>
  <si>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</si>
  <si>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</si>
  <si>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</si>
  <si>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</si>
  <si>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</si>
  <si>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</si>
  <si>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</si>
  <si>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</si>
  <si>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</si>
  <si>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</si>
  <si>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</si>
  <si>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</si>
  <si>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</si>
  <si>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</si>
  <si>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</si>
  <si>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</si>
  <si>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</si>
  <si>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</si>
  <si>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</si>
  <si>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</si>
  <si>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</si>
  <si>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</si>
  <si>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</si>
  <si>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</si>
  <si>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</si>
  <si>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</si>
  <si>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</si>
  <si>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</si>
  <si>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</si>
  <si>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</si>
  <si>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</si>
  <si>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</si>
  <si>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</si>
  <si>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</si>
  <si>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</si>
  <si>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</si>
  <si>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</si>
  <si>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</si>
  <si>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</si>
  <si>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</si>
  <si>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</si>
  <si>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</si>
  <si>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</si>
  <si>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</si>
  <si>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</si>
  <si>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</si>
  <si>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</si>
  <si>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</si>
  <si>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</si>
  <si>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</si>
  <si>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</si>
  <si>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</si>
  <si>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</si>
  <si>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</si>
  <si>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</si>
  <si>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</si>
  <si>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</si>
  <si>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</si>
  <si>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</si>
  <si>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</si>
  <si>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</si>
  <si>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</si>
  <si>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</si>
  <si>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</si>
  <si>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</si>
  <si>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</si>
  <si>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</si>
  <si>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</si>
  <si>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</si>
  <si>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</si>
  <si>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</si>
  <si>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</si>
  <si>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</si>
  <si>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</si>
  <si>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</si>
  <si>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</si>
  <si>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</si>
  <si>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</si>
  <si>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</si>
  <si>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</si>
  <si>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</si>
  <si>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</si>
  <si>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</si>
  <si>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</si>
  <si>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</si>
  <si>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</si>
  <si>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</si>
  <si>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</si>
  <si>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</si>
  <si>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</si>
  <si>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</si>
  <si>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</si>
  <si>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</si>
  <si>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</si>
  <si>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</si>
  <si>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</si>
  <si>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</si>
  <si>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</si>
  <si>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</si>
  <si>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</si>
  <si>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</si>
  <si>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</si>
  <si>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</si>
  <si>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</si>
  <si>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</si>
  <si>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</si>
  <si>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</si>
  <si>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</si>
  <si>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</si>
  <si>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</si>
  <si>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</si>
  <si>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</si>
  <si>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</si>
  <si>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</si>
  <si>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</si>
  <si>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</si>
  <si>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</si>
  <si>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</si>
  <si>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</si>
  <si>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</si>
  <si>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</si>
  <si>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</si>
  <si>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</si>
  <si>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</si>
  <si>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</si>
  <si>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</si>
  <si>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</si>
  <si>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</si>
  <si>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</si>
  <si>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</si>
  <si>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</si>
  <si>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</si>
  <si>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</si>
  <si>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</si>
  <si>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</si>
  <si>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</si>
  <si>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</si>
  <si>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</si>
  <si>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</si>
  <si>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</si>
  <si>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</si>
  <si>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</si>
  <si>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</si>
  <si>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</si>
  <si>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</si>
  <si>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</si>
  <si>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</si>
  <si>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</si>
  <si>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</si>
  <si>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</si>
  <si>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</si>
  <si>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</si>
  <si>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</si>
  <si>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</si>
  <si>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</si>
  <si>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</si>
  <si>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</si>
  <si>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</si>
  <si>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</si>
  <si>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</si>
  <si>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</si>
  <si>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</si>
  <si>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</si>
  <si>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</si>
  <si>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</si>
  <si>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</si>
  <si>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</si>
  <si>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</si>
  <si>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</si>
  <si>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</si>
  <si>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</si>
  <si>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</si>
  <si>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</si>
  <si>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</si>
  <si>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</si>
  <si>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</si>
  <si>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</si>
  <si>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</si>
  <si>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</si>
  <si>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</si>
  <si>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</si>
  <si>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</si>
  <si>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</si>
  <si>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</si>
  <si>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</si>
  <si>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</si>
  <si>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</si>
  <si>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</si>
  <si>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</si>
  <si>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</si>
  <si>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</si>
  <si>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</si>
  <si>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</si>
  <si>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</si>
  <si>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</si>
  <si>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</si>
  <si>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</si>
  <si>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</si>
  <si>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</si>
  <si>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</si>
  <si>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</si>
  <si>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</si>
  <si>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</si>
  <si>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</si>
  <si>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</si>
  <si>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</si>
  <si>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</si>
  <si>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</si>
  <si>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</si>
  <si>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</si>
  <si>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</si>
  <si>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</si>
  <si>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</si>
  <si>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</si>
  <si>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</si>
  <si>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</si>
  <si>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</si>
  <si>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</si>
  <si>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</si>
  <si>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</si>
  <si>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</si>
  <si>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</si>
  <si>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</si>
  <si>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</si>
  <si>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</si>
  <si>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</si>
  <si>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</si>
  <si>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</si>
  <si>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</si>
  <si>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</si>
  <si>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</si>
  <si>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</si>
  <si>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</si>
  <si>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</si>
  <si>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</si>
  <si>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</si>
  <si>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</si>
  <si>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</si>
  <si>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</si>
  <si>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</si>
  <si>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</si>
  <si>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</si>
  <si>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</si>
  <si>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</si>
  <si>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</si>
  <si>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</si>
  <si>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</si>
  <si>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</si>
  <si>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</si>
  <si>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</si>
  <si>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</si>
  <si>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</si>
  <si>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</si>
  <si>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</si>
  <si>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</si>
  <si>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</si>
  <si>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</si>
  <si>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</si>
  <si>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</si>
  <si>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</si>
  <si>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</si>
  <si>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</si>
  <si>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</si>
  <si>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</si>
  <si>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</si>
  <si>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</si>
  <si>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</si>
  <si>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</si>
  <si>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</si>
  <si>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</si>
  <si>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</si>
  <si>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</si>
  <si>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</si>
  <si>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</si>
  <si>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</si>
  <si>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</si>
  <si>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</si>
  <si>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</si>
  <si>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</si>
  <si>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</si>
  <si>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</si>
  <si>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</si>
  <si>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</si>
  <si>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</si>
  <si>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</si>
  <si>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</si>
  <si>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</si>
  <si>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</si>
  <si>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</si>
  <si>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</si>
  <si>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</si>
  <si>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</si>
  <si>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</si>
  <si>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</si>
  <si>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</si>
  <si>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</si>
  <si>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</si>
  <si>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</si>
  <si>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</si>
  <si>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</si>
  <si>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</si>
  <si>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</si>
  <si>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</si>
  <si>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</si>
  <si>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</si>
  <si>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</si>
  <si>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</si>
  <si>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</si>
  <si>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</si>
  <si>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</si>
  <si>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</si>
  <si>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</si>
  <si>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</si>
  <si>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</si>
  <si>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</si>
  <si>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</si>
  <si>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</si>
  <si>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</si>
  <si>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</si>
  <si>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</si>
  <si>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</si>
  <si>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</si>
  <si>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</si>
  <si>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</si>
  <si>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</si>
  <si>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</si>
  <si>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</si>
  <si>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</si>
  <si>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</si>
  <si>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</si>
  <si>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</si>
  <si>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</si>
  <si>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</si>
  <si>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</si>
  <si>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</si>
  <si>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</si>
  <si>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</si>
  <si>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</si>
  <si>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</si>
  <si>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</si>
  <si>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</si>
  <si>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</si>
  <si>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</si>
  <si>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</si>
  <si>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</si>
  <si>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</si>
  <si>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</si>
  <si>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</si>
  <si>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</si>
  <si>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</si>
  <si>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</si>
  <si>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</si>
  <si>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</si>
  <si>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</si>
  <si>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</si>
  <si>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</si>
  <si>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</si>
  <si>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</si>
  <si>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</si>
  <si>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</si>
  <si>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</si>
  <si>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</si>
  <si>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</si>
  <si>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</si>
  <si>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</si>
  <si>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</si>
  <si>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</si>
  <si>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</si>
  <si>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</si>
  <si>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</si>
  <si>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</si>
  <si>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</si>
  <si>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</si>
  <si>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</si>
  <si>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</si>
  <si>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</si>
  <si>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</si>
  <si>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</si>
  <si>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</si>
  <si>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</si>
  <si>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</si>
  <si>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</si>
  <si>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</si>
  <si>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</si>
  <si>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</si>
  <si>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</si>
  <si>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</si>
  <si>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</si>
  <si>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</si>
  <si>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</si>
  <si>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</si>
  <si>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</si>
  <si>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</si>
  <si>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</si>
  <si>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</si>
  <si>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</si>
  <si>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</si>
  <si>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</si>
  <si>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</si>
  <si>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</si>
  <si>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</si>
  <si>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</si>
  <si>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</si>
  <si>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</si>
  <si>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</si>
  <si>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</si>
  <si>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</si>
  <si>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</si>
  <si>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</si>
  <si>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</si>
  <si>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</si>
  <si>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</si>
  <si>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</si>
  <si>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</si>
  <si>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</si>
  <si>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</si>
  <si>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</si>
  <si>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</si>
  <si>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</si>
  <si>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</si>
  <si>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</si>
  <si>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</si>
  <si>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</si>
  <si>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</si>
  <si>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</si>
  <si>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</si>
  <si>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</si>
  <si>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</si>
  <si>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</si>
  <si>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</si>
  <si>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</si>
  <si>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</si>
  <si>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</si>
  <si>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</si>
  <si>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</si>
  <si>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</si>
  <si>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</si>
  <si>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</si>
  <si>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</si>
  <si>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</si>
  <si>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</si>
  <si>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</si>
  <si>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</si>
  <si>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</si>
  <si>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</si>
  <si>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</si>
  <si>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</si>
  <si>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</si>
  <si>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</si>
  <si>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</si>
  <si>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</si>
  <si>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</si>
  <si>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</si>
  <si>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</si>
  <si>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</si>
  <si>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</si>
  <si>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</si>
  <si>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</si>
  <si>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</si>
  <si>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</si>
  <si>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</si>
  <si>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</si>
  <si>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</si>
  <si>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</si>
  <si>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</si>
  <si>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</si>
  <si>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</si>
  <si>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</si>
  <si>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</si>
  <si>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</si>
  <si>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</si>
  <si>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</si>
  <si>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</si>
  <si>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</si>
  <si>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</si>
  <si>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</si>
  <si>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</si>
  <si>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</si>
  <si>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</si>
  <si>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</si>
  <si>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</si>
  <si>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</si>
  <si>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</si>
  <si>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</si>
  <si>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</si>
  <si>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</si>
  <si>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</si>
  <si>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</si>
  <si>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</si>
  <si>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</si>
  <si>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</si>
  <si>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</si>
  <si>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</si>
  <si>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</si>
  <si>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</si>
  <si>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</si>
  <si>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</si>
  <si>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</si>
  <si>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</si>
  <si>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</si>
  <si>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</si>
  <si>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</si>
  <si>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</si>
  <si>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</si>
  <si>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</si>
  <si>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</si>
  <si>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</si>
  <si>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</si>
  <si>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</si>
  <si>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</si>
  <si>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</si>
  <si>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</si>
  <si>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</si>
  <si>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</si>
  <si>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</si>
  <si>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</si>
  <si>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</si>
  <si>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</si>
  <si>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</si>
  <si>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</si>
  <si>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</si>
  <si>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</si>
  <si>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</si>
  <si>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</si>
  <si>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</si>
  <si>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</si>
  <si>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</si>
  <si>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</si>
  <si>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</si>
  <si>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</si>
  <si>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</si>
  <si>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</si>
  <si>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</si>
  <si>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</si>
  <si>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</si>
  <si>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</si>
  <si>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</si>
  <si>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</si>
  <si>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</si>
  <si>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</si>
  <si>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</si>
  <si>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</si>
  <si>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</si>
  <si>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</si>
  <si>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</si>
  <si>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</si>
  <si>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</si>
  <si>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</si>
  <si>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</si>
  <si>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</si>
  <si>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</si>
  <si>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</si>
  <si>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</si>
  <si>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</si>
  <si>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</si>
  <si>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</si>
  <si>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</si>
  <si>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</si>
  <si>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</si>
  <si>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</si>
  <si>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</si>
  <si>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</si>
  <si>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</si>
  <si>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</si>
  <si>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</si>
  <si>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</si>
  <si>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</si>
  <si>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</si>
  <si>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</si>
  <si>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</si>
  <si>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</si>
  <si>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</si>
  <si>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</si>
  <si>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</si>
  <si>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</si>
  <si>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</si>
  <si>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</si>
  <si>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</si>
  <si>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</si>
  <si>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</si>
  <si>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</si>
  <si>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</si>
  <si>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</si>
  <si>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</si>
  <si>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</si>
  <si>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</si>
  <si>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</si>
  <si>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</si>
  <si>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</si>
  <si>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</si>
  <si>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</si>
  <si>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</si>
  <si>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</si>
  <si>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</si>
  <si>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</si>
  <si>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</si>
  <si>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</si>
  <si>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</si>
  <si>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</si>
  <si>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</si>
  <si>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</si>
  <si>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</si>
  <si>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</si>
  <si>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</si>
  <si>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</si>
  <si>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</si>
  <si>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</si>
  <si>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</si>
  <si>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</si>
  <si>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</si>
  <si>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</si>
  <si>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</si>
  <si>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</si>
  <si>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</si>
  <si>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</si>
  <si>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</si>
  <si>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</si>
  <si>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</si>
  <si>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</si>
  <si>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</si>
  <si>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</si>
  <si>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</si>
  <si>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</si>
  <si>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</si>
  <si>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</si>
  <si>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</si>
  <si>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</si>
  <si>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</si>
  <si>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</si>
  <si>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</si>
  <si>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</si>
  <si>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</si>
  <si>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</si>
  <si>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</si>
  <si>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</si>
  <si>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</si>
  <si>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</si>
  <si>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</si>
  <si>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</si>
  <si>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</si>
  <si>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</si>
  <si>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</si>
  <si>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</si>
  <si>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</si>
  <si>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</si>
  <si>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</si>
  <si>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</si>
  <si>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</si>
  <si>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</si>
  <si>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</si>
  <si>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</si>
  <si>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</si>
  <si>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</si>
  <si>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</si>
  <si>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</si>
  <si>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</si>
  <si>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</si>
  <si>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</si>
  <si>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</si>
  <si>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</si>
  <si>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</si>
  <si>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</si>
  <si>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</si>
  <si>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</si>
  <si>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</si>
  <si>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</si>
  <si>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</si>
  <si>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</si>
  <si>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</si>
  <si>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</si>
  <si>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</si>
  <si>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</si>
  <si>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</si>
  <si>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</si>
  <si>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</si>
  <si>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</si>
  <si>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</si>
  <si>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</si>
  <si>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</si>
  <si>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</si>
  <si>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</si>
  <si>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</si>
  <si>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</si>
  <si>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</si>
  <si>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</si>
  <si>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</si>
  <si>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</si>
  <si>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</si>
  <si>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</si>
  <si>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</si>
  <si>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</si>
  <si>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</si>
  <si>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</si>
  <si>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</si>
  <si>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</si>
  <si>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</si>
  <si>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</si>
  <si>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</si>
  <si>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</si>
  <si>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</si>
  <si>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</si>
  <si>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</si>
  <si>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</si>
  <si>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</si>
  <si>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</si>
  <si>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</si>
  <si>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</si>
  <si>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</si>
  <si>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</si>
  <si>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</si>
  <si>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</si>
  <si>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</si>
  <si>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</si>
  <si>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</si>
  <si>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</si>
  <si>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</si>
  <si>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</si>
  <si>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</si>
  <si>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</si>
  <si>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</si>
  <si>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</si>
  <si>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</si>
  <si>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</si>
  <si>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</si>
  <si>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</si>
  <si>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</si>
  <si>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</si>
  <si>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</si>
  <si>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</si>
  <si>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</si>
  <si>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</si>
  <si>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</si>
  <si>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</si>
  <si>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</si>
  <si>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</si>
  <si>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</si>
  <si>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</si>
  <si>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</si>
  <si>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</si>
  <si>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</si>
  <si>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</si>
  <si>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</si>
  <si>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</si>
  <si>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</si>
  <si>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</si>
  <si>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</si>
  <si>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</si>
  <si>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</si>
  <si>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</si>
  <si>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</si>
  <si>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</si>
  <si>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</si>
  <si>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</si>
  <si>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</si>
  <si>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</si>
  <si>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</si>
  <si>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</si>
  <si>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</si>
  <si>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</si>
  <si>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</si>
  <si>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</si>
  <si>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</si>
  <si>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</si>
  <si>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</si>
  <si>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</si>
  <si>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</si>
  <si>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</si>
  <si>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</si>
  <si>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</si>
  <si>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</si>
  <si>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</si>
  <si>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</si>
  <si>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</si>
  <si>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</si>
  <si>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</si>
  <si>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</si>
  <si>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</si>
  <si>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</si>
  <si>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</si>
  <si>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</si>
  <si>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</si>
  <si>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</si>
  <si>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</si>
  <si>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</si>
  <si>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</si>
  <si>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</si>
  <si>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</si>
  <si>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</si>
  <si>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</si>
  <si>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</si>
  <si>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</si>
  <si>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</si>
  <si>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</si>
  <si>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</si>
  <si>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</si>
  <si>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</si>
  <si>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</si>
  <si>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</si>
  <si>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</si>
  <si>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</si>
  <si>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</si>
  <si>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</si>
  <si>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</si>
  <si>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</si>
  <si>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</si>
  <si>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</si>
  <si>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</si>
  <si>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</si>
  <si>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</si>
  <si>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</si>
  <si>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</si>
  <si>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</si>
  <si>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</si>
  <si>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</si>
  <si>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</si>
  <si>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</si>
  <si>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</si>
  <si>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</si>
  <si>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</si>
  <si>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</si>
  <si>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</si>
  <si>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</si>
  <si>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</si>
  <si>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</si>
  <si>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</si>
  <si>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</si>
  <si>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</si>
  <si>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</si>
  <si>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</si>
  <si>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</si>
  <si>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</si>
  <si>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</si>
  <si>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</si>
  <si>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</si>
  <si>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</si>
  <si>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</si>
  <si>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</si>
  <si>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</si>
  <si>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</si>
  <si>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</si>
  <si>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</si>
  <si>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</si>
  <si>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</si>
  <si>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</si>
  <si>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</si>
  <si>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</si>
  <si>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</si>
  <si>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</si>
  <si>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</si>
  <si>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</si>
  <si>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</si>
  <si>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</si>
  <si>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</si>
  <si>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</si>
  <si>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</si>
  <si>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</si>
  <si>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</si>
  <si>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</si>
  <si>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</si>
  <si>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</si>
  <si>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</si>
  <si>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</si>
  <si>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</si>
  <si>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</si>
  <si>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</si>
  <si>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</si>
  <si>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</si>
  <si>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</si>
  <si>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</si>
  <si>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</si>
  <si>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</si>
  <si>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</si>
  <si>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</si>
  <si>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</si>
  <si>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</si>
  <si>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</si>
  <si>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</si>
  <si>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</si>
  <si>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</si>
  <si>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</si>
  <si>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</si>
  <si>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</si>
  <si>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</si>
  <si>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</si>
  <si>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</si>
  <si>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</si>
  <si>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</si>
  <si>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</si>
  <si>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</si>
  <si>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</si>
  <si>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</si>
  <si>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</si>
  <si>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</si>
  <si>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</si>
  <si>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</si>
  <si>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</si>
  <si>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</si>
  <si>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</si>
  <si>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</si>
  <si>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</si>
  <si>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</si>
  <si>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</si>
  <si>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</si>
  <si>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</si>
  <si>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</si>
  <si>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</si>
  <si>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</si>
  <si>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</si>
  <si>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</si>
  <si>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</si>
  <si>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</si>
  <si>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</si>
  <si>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</si>
  <si>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</si>
  <si>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</si>
  <si>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</si>
  <si>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</si>
  <si>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</si>
  <si>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</si>
  <si>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</si>
  <si>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</si>
  <si>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</si>
  <si>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</si>
  <si>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</si>
  <si>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</si>
  <si>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</si>
  <si>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</si>
  <si>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</si>
  <si>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</si>
  <si>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</si>
  <si>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</si>
  <si>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</si>
  <si>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</si>
  <si>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</si>
  <si>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</si>
  <si>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</si>
  <si>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</si>
  <si>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</si>
  <si>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</si>
  <si>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</si>
  <si>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</si>
  <si>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</si>
  <si>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</si>
  <si>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</si>
  <si>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</si>
  <si>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</si>
  <si>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</si>
  <si>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</si>
  <si>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</si>
  <si>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</si>
  <si>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</si>
  <si>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</si>
  <si>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</si>
  <si>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</si>
  <si>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</si>
  <si>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</si>
  <si>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</si>
  <si>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</si>
  <si>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</si>
  <si>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</si>
  <si>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</si>
  <si>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</si>
  <si>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</si>
  <si>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</si>
  <si>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</si>
  <si>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</si>
  <si>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</si>
  <si>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</si>
  <si>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</si>
  <si>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</si>
  <si>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</si>
  <si>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</si>
  <si>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</si>
  <si>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</si>
  <si>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</si>
  <si>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</si>
  <si>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</si>
  <si>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</si>
  <si>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</si>
  <si>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</si>
  <si>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</si>
  <si>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</si>
  <si>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</si>
  <si>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</si>
  <si>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</si>
  <si>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</si>
  <si>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</si>
  <si>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</si>
  <si>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</si>
  <si>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</si>
  <si>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</si>
  <si>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</si>
  <si>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</si>
  <si>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</si>
  <si>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</si>
  <si>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</si>
  <si>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</si>
  <si>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</si>
  <si>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</si>
  <si>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</si>
  <si>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</si>
  <si>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</si>
  <si>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</si>
  <si>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</si>
  <si>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</si>
  <si>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</si>
  <si>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</si>
  <si>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</si>
  <si>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</si>
  <si>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</si>
  <si>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</si>
  <si>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</si>
  <si>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</si>
  <si>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</si>
  <si>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</si>
  <si>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</si>
  <si>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</si>
  <si>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</si>
  <si>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</si>
  <si>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</si>
  <si>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</si>
  <si>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</si>
  <si>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</si>
  <si>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</si>
  <si>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</si>
  <si>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</si>
  <si>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</si>
  <si>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</si>
  <si>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</si>
  <si>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</si>
  <si>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</si>
  <si>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</si>
  <si>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</si>
  <si>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</si>
  <si>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</si>
  <si>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</si>
  <si>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</si>
  <si>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</si>
  <si>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</si>
  <si>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</si>
  <si>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</si>
  <si>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</si>
  <si>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</si>
  <si>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</si>
  <si>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</si>
  <si>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</si>
  <si>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</si>
  <si>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</si>
  <si>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</si>
  <si>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</si>
  <si>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</si>
  <si>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</si>
  <si>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</si>
  <si>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</si>
  <si>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</si>
  <si>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</si>
  <si>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</si>
  <si>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</si>
  <si>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</si>
  <si>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</si>
  <si>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</si>
  <si>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</si>
  <si>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</si>
  <si>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</si>
  <si>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</si>
  <si>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</si>
  <si>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</si>
  <si>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</si>
  <si>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</si>
  <si>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</si>
  <si>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</si>
  <si>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</si>
  <si>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</si>
  <si>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</si>
  <si>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</si>
  <si>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</si>
  <si>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</si>
  <si>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</si>
  <si>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</si>
  <si>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</si>
  <si>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</si>
  <si>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</si>
  <si>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</si>
  <si>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</si>
  <si>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</si>
  <si>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</si>
  <si>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</si>
  <si>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</si>
  <si>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</si>
  <si>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</si>
  <si>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</si>
  <si>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</si>
  <si>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</si>
  <si>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</si>
  <si>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</si>
  <si>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</si>
  <si>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</si>
  <si>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</si>
  <si>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</si>
  <si>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</si>
  <si>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</si>
  <si>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</si>
  <si>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</si>
  <si>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</si>
  <si>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</si>
  <si>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</si>
  <si>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</si>
  <si>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</si>
  <si>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</si>
  <si>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</si>
  <si>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</si>
  <si>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</si>
  <si>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</si>
  <si>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</si>
  <si>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</si>
  <si>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</si>
  <si>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</si>
  <si>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</si>
  <si>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</si>
  <si>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</si>
  <si>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</si>
  <si>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</si>
  <si>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</si>
  <si>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</si>
  <si>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</si>
  <si>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</si>
  <si>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</si>
  <si>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</si>
  <si>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</si>
  <si>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</si>
  <si>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</si>
  <si>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</si>
  <si>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</si>
  <si>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</si>
  <si>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</si>
  <si>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</si>
  <si>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</si>
  <si>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</si>
  <si>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</si>
  <si>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</si>
  <si>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</si>
  <si>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</si>
  <si>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</si>
  <si>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</si>
  <si>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</si>
  <si>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</si>
  <si>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</si>
  <si>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</si>
  <si>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</si>
  <si>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</si>
  <si>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</si>
  <si>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</si>
  <si>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</si>
  <si>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</si>
  <si>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</si>
  <si>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</si>
  <si>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</si>
  <si>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</si>
  <si>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</si>
  <si>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</si>
  <si>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</si>
  <si>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</si>
  <si>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</si>
  <si>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</si>
  <si>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</si>
  <si>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</si>
  <si>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</si>
  <si>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</si>
  <si>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</si>
  <si>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</si>
  <si>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</si>
  <si>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</si>
  <si>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</si>
  <si>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</si>
  <si>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</si>
  <si>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</si>
  <si>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</si>
  <si>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</si>
  <si>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</si>
  <si>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</si>
  <si>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</si>
  <si>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</si>
  <si>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</si>
  <si>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</si>
  <si>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</si>
  <si>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</si>
  <si>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</si>
  <si>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</si>
  <si>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</si>
  <si>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</si>
  <si>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</si>
  <si>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</si>
  <si>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</si>
  <si>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</si>
  <si>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</si>
  <si>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</si>
  <si>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</si>
  <si>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</si>
  <si>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</si>
  <si>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</si>
  <si>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</si>
  <si>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</si>
  <si>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</si>
  <si>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</si>
  <si>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</si>
  <si>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</si>
  <si>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</si>
  <si>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</si>
  <si>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</si>
  <si>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</si>
  <si>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</si>
  <si>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</si>
  <si>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</si>
  <si>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</si>
  <si>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</si>
  <si>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</si>
  <si>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</si>
  <si>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</si>
  <si>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</si>
  <si>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</si>
  <si>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</si>
  <si>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</si>
  <si>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</si>
  <si>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</si>
  <si>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</si>
  <si>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</si>
  <si>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</si>
  <si>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</si>
  <si>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</si>
  <si>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</si>
  <si>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</si>
  <si>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</si>
  <si>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</si>
  <si>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</si>
  <si>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</si>
  <si>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</si>
  <si>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</si>
  <si>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</si>
  <si>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</si>
  <si>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</si>
  <si>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</si>
  <si>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</si>
  <si>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</si>
  <si>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</si>
  <si>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</si>
  <si>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</si>
  <si>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</si>
  <si>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</si>
  <si>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</si>
  <si>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</si>
  <si>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</si>
  <si>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</si>
  <si>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</si>
  <si>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</si>
  <si>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</si>
  <si>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</si>
  <si>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</si>
  <si>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</si>
  <si>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</si>
  <si>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</si>
  <si>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</si>
  <si>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</si>
  <si>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</si>
  <si>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</si>
  <si>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</si>
  <si>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</si>
  <si>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</si>
  <si>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</si>
  <si>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</si>
  <si>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</si>
  <si>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</si>
  <si>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</si>
  <si>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</si>
  <si>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</si>
  <si>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</si>
  <si>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</si>
  <si>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</si>
  <si>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</si>
  <si>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</si>
  <si>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</si>
  <si>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</si>
  <si>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</si>
  <si>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</si>
  <si>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</si>
  <si>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</si>
  <si>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</si>
  <si>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</si>
  <si>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</si>
  <si>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</si>
  <si>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</si>
  <si>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</si>
  <si>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</si>
  <si>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</si>
  <si>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</si>
  <si>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</si>
  <si>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</si>
  <si>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</si>
  <si>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</si>
  <si>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</si>
  <si>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</si>
  <si>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</si>
  <si>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</si>
  <si>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</si>
  <si>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</si>
  <si>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</si>
  <si>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</si>
  <si>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</si>
  <si>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</si>
  <si>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</si>
  <si>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</si>
  <si>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</si>
  <si>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</si>
  <si>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</si>
  <si>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</si>
  <si>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</si>
  <si>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</si>
  <si>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</si>
  <si>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</si>
  <si>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</si>
  <si>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</si>
  <si>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</si>
  <si>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</si>
  <si>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</si>
  <si>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</si>
  <si>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</si>
  <si>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</si>
  <si>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</si>
  <si>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</si>
  <si>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</si>
  <si>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</si>
  <si>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</si>
  <si>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</si>
  <si>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</si>
  <si>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</si>
  <si>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</si>
  <si>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</si>
  <si>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</si>
  <si>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</si>
  <si>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</si>
  <si>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</si>
  <si>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</si>
  <si>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</si>
  <si>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</si>
  <si>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</si>
  <si>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</si>
  <si>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</si>
  <si>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</si>
  <si>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</si>
  <si>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</si>
  <si>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</si>
  <si>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</si>
  <si>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</si>
  <si>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</si>
  <si>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</si>
  <si>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</si>
  <si>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</si>
  <si>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</si>
  <si>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</si>
  <si>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</si>
  <si>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</si>
  <si>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</si>
  <si>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</si>
  <si>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</si>
  <si>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</si>
  <si>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</si>
  <si>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</si>
  <si>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</si>
  <si>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</si>
  <si>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</si>
  <si>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</si>
  <si>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</si>
  <si>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</si>
  <si>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</si>
  <si>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</si>
  <si>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</si>
  <si>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</si>
  <si>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</si>
  <si>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</si>
  <si>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</si>
  <si>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</si>
  <si>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</si>
  <si>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</si>
  <si>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</si>
  <si>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</si>
  <si>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</si>
  <si>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</si>
  <si>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</si>
  <si>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</si>
  <si>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</si>
  <si>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</si>
  <si>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</si>
  <si>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</si>
  <si>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</si>
  <si>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</si>
  <si>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</si>
  <si>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</si>
  <si>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</si>
  <si>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</si>
  <si>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</si>
  <si>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</si>
  <si>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</si>
  <si>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</si>
  <si>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</si>
  <si>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</si>
  <si>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</si>
  <si>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</si>
  <si>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</si>
  <si>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</si>
  <si>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</si>
  <si>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</si>
  <si>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</si>
  <si>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</si>
  <si>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</si>
  <si>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</si>
  <si>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</si>
  <si>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</si>
  <si>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</si>
  <si>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</si>
  <si>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</si>
  <si>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</si>
  <si>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</si>
  <si>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</si>
  <si>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</si>
  <si>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</si>
  <si>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</si>
  <si>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</si>
  <si>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</si>
  <si>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</si>
  <si>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</si>
  <si>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</si>
  <si>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</si>
  <si>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</si>
  <si>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</si>
  <si>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</si>
  <si>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</si>
  <si>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</si>
  <si>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</si>
  <si>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</si>
  <si>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</si>
  <si>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</si>
  <si>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</si>
  <si>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</si>
  <si>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</si>
  <si>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</si>
  <si>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</si>
  <si>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</si>
  <si>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</si>
  <si>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</si>
  <si>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</si>
  <si>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</si>
  <si>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</si>
  <si>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</si>
  <si>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</si>
  <si>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</si>
  <si>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</si>
  <si>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</si>
  <si>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</si>
  <si>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</si>
  <si>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</si>
  <si>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</si>
  <si>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</si>
  <si>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</si>
  <si>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</si>
  <si>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</si>
  <si>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</si>
  <si>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</si>
  <si>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</si>
  <si>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</si>
  <si>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</si>
  <si>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</si>
  <si>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</si>
  <si>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</si>
  <si>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</si>
  <si>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</si>
  <si>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</si>
  <si>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</si>
  <si>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</si>
  <si>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</si>
  <si>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</si>
  <si>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</si>
  <si>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</si>
  <si>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</si>
  <si>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</si>
  <si>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</si>
  <si>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</si>
  <si>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</si>
  <si>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</si>
  <si>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</si>
  <si>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</si>
  <si>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</si>
  <si>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</si>
  <si>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</si>
  <si>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</si>
  <si>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</si>
  <si>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</si>
  <si>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</si>
  <si>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</si>
  <si>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</si>
  <si>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</si>
  <si>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</si>
  <si>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</si>
  <si>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</si>
  <si>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</si>
  <si>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</si>
  <si>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</si>
  <si>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</si>
  <si>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</si>
  <si>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</si>
  <si>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</si>
  <si>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</si>
  <si>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</si>
  <si>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</si>
  <si>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</si>
  <si>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</si>
  <si>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</si>
  <si>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</si>
  <si>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</si>
  <si>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</si>
  <si>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</si>
  <si>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</si>
  <si>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</si>
  <si>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</si>
  <si>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</si>
  <si>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</si>
  <si>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</si>
  <si>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</si>
  <si>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</si>
  <si>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</si>
  <si>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</si>
  <si>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</si>
  <si>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</si>
  <si>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</si>
  <si>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</si>
  <si>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</si>
  <si>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</si>
  <si>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</si>
  <si>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</si>
  <si>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</si>
  <si>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</si>
  <si>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</si>
  <si>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</si>
  <si>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</si>
  <si>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</si>
  <si>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</si>
  <si>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</si>
  <si>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</si>
  <si>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</si>
  <si>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</si>
  <si>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</si>
  <si>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</si>
  <si>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</si>
  <si>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</si>
  <si>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</si>
  <si>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</si>
  <si>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</si>
  <si>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</si>
  <si>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</si>
  <si>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</si>
  <si>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</si>
  <si>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</si>
  <si>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</si>
  <si>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</si>
  <si>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</si>
  <si>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</si>
  <si>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</si>
  <si>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</si>
  <si>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</si>
  <si>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</si>
  <si>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</si>
  <si>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</si>
  <si>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</si>
  <si>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</si>
  <si>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</si>
  <si>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</si>
  <si>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</si>
  <si>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</si>
  <si>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</si>
  <si>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</si>
  <si>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</si>
  <si>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</si>
  <si>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</si>
  <si>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</si>
  <si>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</si>
  <si>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</si>
  <si>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</si>
  <si>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</si>
  <si>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</si>
  <si>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</si>
  <si>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</si>
  <si>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</si>
  <si>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</si>
  <si>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</si>
  <si>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</si>
  <si>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</si>
  <si>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</si>
  <si>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</si>
  <si>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</si>
  <si>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</si>
  <si>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</si>
  <si>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</si>
  <si>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</si>
  <si>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</si>
  <si>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</si>
  <si>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</si>
  <si>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</si>
  <si>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</si>
  <si>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</si>
  <si>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</si>
  <si>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</si>
  <si>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</si>
  <si>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</si>
  <si>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</si>
  <si>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</si>
  <si>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</si>
  <si>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</si>
  <si>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</si>
  <si>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</si>
  <si>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</si>
  <si>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</si>
  <si>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</si>
  <si>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</si>
  <si>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</si>
  <si>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</si>
  <si>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</si>
  <si>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</si>
  <si>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</si>
  <si>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</si>
  <si>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</si>
  <si>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</si>
  <si>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</si>
  <si>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</si>
  <si>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</si>
  <si>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</si>
  <si>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</si>
  <si>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</si>
  <si>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</si>
  <si>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</si>
  <si>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</si>
  <si>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</si>
  <si>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</si>
  <si>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</si>
  <si>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</si>
  <si>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</si>
  <si>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</si>
  <si>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</si>
  <si>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</si>
  <si>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</si>
  <si>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</si>
  <si>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</si>
  <si>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</si>
  <si>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</si>
  <si>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</si>
  <si>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</si>
  <si>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</si>
  <si>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</si>
  <si>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</si>
  <si>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</si>
  <si>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</si>
  <si>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</si>
  <si>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</si>
  <si>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</si>
  <si>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</si>
  <si>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</si>
  <si>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</si>
  <si>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</si>
  <si>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</si>
  <si>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</si>
  <si>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</si>
  <si>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</si>
  <si>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</si>
  <si>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</si>
  <si>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</si>
  <si>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</si>
  <si>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</si>
  <si>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</si>
  <si>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</si>
  <si>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</si>
  <si>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</si>
  <si>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</si>
  <si>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</si>
  <si>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</si>
  <si>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</si>
  <si>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</si>
  <si>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</si>
  <si>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</si>
  <si>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</si>
  <si>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</si>
  <si>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</si>
  <si>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</si>
  <si>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</si>
  <si>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</si>
  <si>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</si>
  <si>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</si>
  <si>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</si>
  <si>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</si>
  <si>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</si>
  <si>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</si>
  <si>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</si>
  <si>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</si>
  <si>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</si>
  <si>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</si>
  <si>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</si>
  <si>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</si>
  <si>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</si>
  <si>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</si>
  <si>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</si>
  <si>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</si>
  <si>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</si>
  <si>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</si>
  <si>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</si>
  <si>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</si>
  <si>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</si>
  <si>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</si>
  <si>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</si>
  <si>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</si>
  <si>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</si>
  <si>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</si>
  <si>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</si>
  <si>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</si>
  <si>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</si>
  <si>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</si>
  <si>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</si>
  <si>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</si>
  <si>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</si>
  <si>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</si>
  <si>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</si>
  <si>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</si>
  <si>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</si>
  <si>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</si>
  <si>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</si>
  <si>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</si>
  <si>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</si>
  <si>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</si>
  <si>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</si>
  <si>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</si>
  <si>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</si>
  <si>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</si>
  <si>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</si>
  <si>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</si>
  <si>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</si>
  <si>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</si>
  <si>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</si>
  <si>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</si>
  <si>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</si>
  <si>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</si>
  <si>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</si>
  <si>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</si>
  <si>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</si>
  <si>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</si>
  <si>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</si>
  <si>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</si>
  <si>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</si>
  <si>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</si>
  <si>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</si>
  <si>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</si>
  <si>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</si>
  <si>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</si>
  <si>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</si>
  <si>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</si>
  <si>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</si>
  <si>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</si>
  <si>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</si>
  <si>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</si>
  <si>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</si>
  <si>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</si>
  <si>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</si>
  <si>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</si>
  <si>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</si>
  <si>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</si>
  <si>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</si>
  <si>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</si>
  <si>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</si>
  <si>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</si>
  <si>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</si>
  <si>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</si>
  <si>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</si>
  <si>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</si>
  <si>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</si>
  <si>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</si>
  <si>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</si>
  <si>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</si>
  <si>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</si>
  <si>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</si>
  <si>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</si>
  <si>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</si>
  <si>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</si>
  <si>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</si>
  <si>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</si>
  <si>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</si>
  <si>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</si>
  <si>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</si>
  <si>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</si>
  <si>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</si>
  <si>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</si>
  <si>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</si>
  <si>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</si>
  <si>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</si>
  <si>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</si>
  <si>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</si>
  <si>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</si>
  <si>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</si>
  <si>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</si>
  <si>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</si>
  <si>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</si>
  <si>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</si>
  <si>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</si>
  <si>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</si>
  <si>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</si>
  <si>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</si>
  <si>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</si>
  <si>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</si>
  <si>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</si>
  <si>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</si>
  <si>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</si>
  <si>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</si>
  <si>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</si>
  <si>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</si>
  <si>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</si>
  <si>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</si>
  <si>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</si>
  <si>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</si>
  <si>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</si>
  <si>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</si>
  <si>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</si>
  <si>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</si>
  <si>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</si>
  <si>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</si>
  <si>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</si>
  <si>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</si>
  <si>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</si>
  <si>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</si>
  <si>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</si>
  <si>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</si>
  <si>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</si>
  <si>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</si>
  <si>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</si>
  <si>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</si>
  <si>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</si>
  <si>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</si>
  <si>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</si>
  <si>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</si>
  <si>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</si>
  <si>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</si>
  <si>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</si>
  <si>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</si>
  <si>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</si>
  <si>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</si>
  <si>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</si>
  <si>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</si>
  <si>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</si>
  <si>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</si>
  <si>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</si>
  <si>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</si>
  <si>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</si>
  <si>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</si>
  <si>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</si>
  <si>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</si>
  <si>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</si>
  <si>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</si>
  <si>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</si>
  <si>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</si>
  <si>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</si>
  <si>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</si>
  <si>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</si>
  <si>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</si>
  <si>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</si>
  <si>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</si>
  <si>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</si>
  <si>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</si>
  <si>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</si>
  <si>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</si>
  <si>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</si>
  <si>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</si>
  <si>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</si>
  <si>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</si>
  <si>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</si>
  <si>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</si>
  <si>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</si>
  <si>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</si>
  <si>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</si>
  <si>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</si>
  <si>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</si>
  <si>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</si>
  <si>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</si>
  <si>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</si>
  <si>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</si>
  <si>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</si>
  <si>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</si>
  <si>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</si>
  <si>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</si>
  <si>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</si>
  <si>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</si>
  <si>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</si>
  <si>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</si>
  <si>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</si>
  <si>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</si>
  <si>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</si>
  <si>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</si>
  <si>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</si>
  <si>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</si>
  <si>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</si>
  <si>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</si>
  <si>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</si>
  <si>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</si>
  <si>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</si>
  <si>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</si>
  <si>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</si>
  <si>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</si>
  <si>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</si>
  <si>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</si>
  <si>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</si>
  <si>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</si>
  <si>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</si>
  <si>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</si>
  <si>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</si>
  <si>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</si>
  <si>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</si>
  <si>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</si>
  <si>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</si>
  <si>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</si>
  <si>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</si>
  <si>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</si>
  <si>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</si>
  <si>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</si>
  <si>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</si>
  <si>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</si>
  <si>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</si>
  <si>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</si>
  <si>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</si>
  <si>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</si>
  <si>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</si>
  <si>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</si>
  <si>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</si>
  <si>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</si>
  <si>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</si>
  <si>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</si>
  <si>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</si>
  <si>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</si>
  <si>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</si>
  <si>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</si>
  <si>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</si>
  <si>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</si>
  <si>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</si>
  <si>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</si>
  <si>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</si>
  <si>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</si>
  <si>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</si>
  <si>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</si>
  <si>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</si>
  <si>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</si>
  <si>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</si>
  <si>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</si>
  <si>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</si>
  <si>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</si>
  <si>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</si>
  <si>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</si>
  <si>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</si>
  <si>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</si>
  <si>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</si>
  <si>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</si>
  <si>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</si>
  <si>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</si>
  <si>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</si>
  <si>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</si>
  <si>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</si>
  <si>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</si>
  <si>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</si>
  <si>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</si>
  <si>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</si>
  <si>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</si>
  <si>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</si>
  <si>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</si>
  <si>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</si>
  <si>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</si>
  <si>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</si>
  <si>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</si>
  <si>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</si>
  <si>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</si>
  <si>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</si>
  <si>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</si>
  <si>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</si>
  <si>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</si>
  <si>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</si>
  <si>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</si>
  <si>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</si>
  <si>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</si>
  <si>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</si>
  <si>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</si>
  <si>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</si>
  <si>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</si>
  <si>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</si>
  <si>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</si>
  <si>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</si>
  <si>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</si>
  <si>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</si>
  <si>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</si>
  <si>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</si>
  <si>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</si>
  <si>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</si>
  <si>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</si>
  <si>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</si>
  <si>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</si>
  <si>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</si>
  <si>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</si>
  <si>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</si>
  <si>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</si>
  <si>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</si>
  <si>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</si>
  <si>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</si>
  <si>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</si>
  <si>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</si>
  <si>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</si>
  <si>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</si>
  <si>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</si>
  <si>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</si>
  <si>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</si>
  <si>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</si>
  <si>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</si>
  <si>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</si>
  <si>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</si>
  <si>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</si>
  <si>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</si>
  <si>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</si>
  <si>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</si>
  <si>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</si>
  <si>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</si>
  <si>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</si>
  <si>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</si>
  <si>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</si>
  <si>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</si>
  <si>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</si>
  <si>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</si>
  <si>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</si>
  <si>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</si>
  <si>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</si>
  <si>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</si>
  <si>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</si>
  <si>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</si>
  <si>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</si>
  <si>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</si>
  <si>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</si>
  <si>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</si>
  <si>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</si>
  <si>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</si>
  <si>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</si>
  <si>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</si>
  <si>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</si>
  <si>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</si>
  <si>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</si>
  <si>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</si>
  <si>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</si>
  <si>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</si>
  <si>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</si>
  <si>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</si>
  <si>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</si>
  <si>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</si>
  <si>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</si>
  <si>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</si>
  <si>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</si>
  <si>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</si>
  <si>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</si>
  <si>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</si>
  <si>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</si>
  <si>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</si>
  <si>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</si>
  <si>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</si>
  <si>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</si>
  <si>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</si>
  <si>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</si>
  <si>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</si>
  <si>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</si>
  <si>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</si>
  <si>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</si>
  <si>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</si>
  <si>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</si>
  <si>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</si>
  <si>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</si>
  <si>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</si>
  <si>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</si>
  <si>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</si>
  <si>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</si>
  <si>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</si>
  <si>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</si>
  <si>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</si>
  <si>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</si>
  <si>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</si>
  <si>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</si>
  <si>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</si>
  <si>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</si>
  <si>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</si>
  <si>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</si>
  <si>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</si>
  <si>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</si>
  <si>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</si>
  <si>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</si>
  <si>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</si>
  <si>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</si>
  <si>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</si>
  <si>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</si>
  <si>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</si>
  <si>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</si>
  <si>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</si>
  <si>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</si>
  <si>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</si>
  <si>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</si>
  <si>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</si>
  <si>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</si>
  <si>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</si>
  <si>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</si>
  <si>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</si>
  <si>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</si>
  <si>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</si>
  <si>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</si>
  <si>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</si>
  <si>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</si>
  <si>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</si>
  <si>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</si>
  <si>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</si>
  <si>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</si>
  <si>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</si>
  <si>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</si>
  <si>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</si>
  <si>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</si>
  <si>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</si>
  <si>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</si>
  <si>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</si>
  <si>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</si>
  <si>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</si>
  <si>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</si>
  <si>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</si>
  <si>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</si>
  <si>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</si>
  <si>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</si>
  <si>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</si>
  <si>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</si>
  <si>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</si>
  <si>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</si>
  <si>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</si>
  <si>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</si>
  <si>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</si>
  <si>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</si>
  <si>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</si>
  <si>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</si>
  <si>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</si>
  <si>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</si>
  <si>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</si>
  <si>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</si>
  <si>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</si>
  <si>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</si>
  <si>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</si>
  <si>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</si>
  <si>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</si>
  <si>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</si>
  <si>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</si>
  <si>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</si>
  <si>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</si>
  <si>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</si>
  <si>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</si>
  <si>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</si>
  <si>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</si>
  <si>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</si>
  <si>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</si>
  <si>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</si>
  <si>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</si>
  <si>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</si>
  <si>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</si>
  <si>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</si>
  <si>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</si>
  <si>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</si>
  <si>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</si>
  <si>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</si>
  <si>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</si>
  <si>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</si>
  <si>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</si>
  <si>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</si>
  <si>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</si>
  <si>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</si>
  <si>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</si>
  <si>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</si>
  <si>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</si>
  <si>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</si>
  <si>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</si>
  <si>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</si>
  <si>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</si>
  <si>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</si>
  <si>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</si>
  <si>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</si>
  <si>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</si>
  <si>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</si>
  <si>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</si>
  <si>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</si>
  <si>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</si>
  <si>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</si>
  <si>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</si>
  <si>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</si>
  <si>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</si>
  <si>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</si>
  <si>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</si>
  <si>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</si>
  <si>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</si>
  <si>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</si>
  <si>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</si>
  <si>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</si>
  <si>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</si>
  <si>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</si>
  <si>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</si>
  <si>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</si>
  <si>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</si>
  <si>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</si>
  <si>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</si>
  <si>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</si>
  <si>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</si>
  <si>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</si>
  <si>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</si>
  <si>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</si>
  <si>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</si>
  <si>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</si>
  <si>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</si>
  <si>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</si>
  <si>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</si>
  <si>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</si>
  <si>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</si>
  <si>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</si>
  <si>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</si>
  <si>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</si>
  <si>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</si>
  <si>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</si>
  <si>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</si>
  <si>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</si>
  <si>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</si>
  <si>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</si>
  <si>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</si>
  <si>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</si>
  <si>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</si>
  <si>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</si>
  <si>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</si>
  <si>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</si>
  <si>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</si>
  <si>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</si>
  <si>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</si>
  <si>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</si>
  <si>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</si>
  <si>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</si>
  <si>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</si>
  <si>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</si>
  <si>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</si>
  <si>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</si>
  <si>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</si>
  <si>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</si>
  <si>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</si>
  <si>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</si>
  <si>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</si>
  <si>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</si>
  <si>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</si>
  <si>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</si>
  <si>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</si>
  <si>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</si>
  <si>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</si>
  <si>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</si>
  <si>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</si>
  <si>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</si>
  <si>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</si>
  <si>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</si>
  <si>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</si>
  <si>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</si>
  <si>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</si>
  <si>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</si>
  <si>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</si>
  <si>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</si>
  <si>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</si>
  <si>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</si>
  <si>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</si>
  <si>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</si>
  <si>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</si>
  <si>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</si>
  <si>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</si>
  <si>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</si>
  <si>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</si>
  <si>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</si>
  <si>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</si>
  <si>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</si>
  <si>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</si>
  <si>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</si>
  <si>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</si>
  <si>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</si>
  <si>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</si>
  <si>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</si>
  <si>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</si>
  <si>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</si>
  <si>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</si>
  <si>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</si>
  <si>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</si>
  <si>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</si>
  <si>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</si>
  <si>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</si>
  <si>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</si>
  <si>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</si>
  <si>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</si>
  <si>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</si>
  <si>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</si>
  <si>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</si>
  <si>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</si>
  <si>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</si>
  <si>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</si>
  <si>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</si>
  <si>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</si>
  <si>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</si>
  <si>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</si>
  <si>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</si>
  <si>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</si>
  <si>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</si>
  <si>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</si>
  <si>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</si>
  <si>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</si>
  <si>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</si>
  <si>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</si>
  <si>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</si>
  <si>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</si>
  <si>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</si>
  <si>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</si>
  <si>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</si>
  <si>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</si>
  <si>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</si>
  <si>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</si>
  <si>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</si>
  <si>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</si>
  <si>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</si>
  <si>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</si>
  <si>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</si>
  <si>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</si>
  <si>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</si>
  <si>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</si>
  <si>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</si>
  <si>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</si>
  <si>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</si>
  <si>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</si>
  <si>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</si>
  <si>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</si>
  <si>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</si>
  <si>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</si>
  <si>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</si>
  <si>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</si>
  <si>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</si>
  <si>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</si>
  <si>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</si>
  <si>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</si>
  <si>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</si>
  <si>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</si>
  <si>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</si>
  <si>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</si>
  <si>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</si>
  <si>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</si>
  <si>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</si>
  <si>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</si>
  <si>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</si>
  <si>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</si>
  <si>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</si>
  <si>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</si>
  <si>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</si>
  <si>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</si>
  <si>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</si>
  <si>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</si>
  <si>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</si>
  <si>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</si>
  <si>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</si>
  <si>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</si>
  <si>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</si>
  <si>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</si>
  <si>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</si>
  <si>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</si>
  <si>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</si>
  <si>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</si>
  <si>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</si>
  <si>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</si>
  <si>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</si>
  <si>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</si>
  <si>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</si>
  <si>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</si>
  <si>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</si>
  <si>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</si>
  <si>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</si>
  <si>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</si>
  <si>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</si>
  <si>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</si>
  <si>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</si>
  <si>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</si>
  <si>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</si>
  <si>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</si>
  <si>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</si>
  <si>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</si>
  <si>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</si>
  <si>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</si>
  <si>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</si>
  <si>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</si>
  <si>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</si>
  <si>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</si>
  <si>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</si>
  <si>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</si>
  <si>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</si>
  <si>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</si>
  <si>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</si>
  <si>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</si>
  <si>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</si>
  <si>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</si>
  <si>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</si>
  <si>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</si>
  <si>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</si>
  <si>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</si>
  <si>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</si>
  <si>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</si>
  <si>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</si>
  <si>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</si>
  <si>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</si>
  <si>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</si>
  <si>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</si>
  <si>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</si>
  <si>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</si>
  <si>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</si>
  <si>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</si>
  <si>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</si>
  <si>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</si>
  <si>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</si>
  <si>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</si>
  <si>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</si>
  <si>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</si>
  <si>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</si>
  <si>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</si>
  <si>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</si>
  <si>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</si>
  <si>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</si>
  <si>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</si>
  <si>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</si>
  <si>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</si>
  <si>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</si>
  <si>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</si>
  <si>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</si>
  <si>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</si>
  <si>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</si>
  <si>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</si>
  <si>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</si>
  <si>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</si>
  <si>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</si>
  <si>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</si>
  <si>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</si>
  <si>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</si>
  <si>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</si>
  <si>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</si>
  <si>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</si>
  <si>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</si>
  <si>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</si>
  <si>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</si>
  <si>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</si>
  <si>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</si>
  <si>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</si>
  <si>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</si>
  <si>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</si>
  <si>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</si>
  <si>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</si>
  <si>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</si>
  <si>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</si>
  <si>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</si>
  <si>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</si>
  <si>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</si>
  <si>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</si>
  <si>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</si>
  <si>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</si>
  <si>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</si>
  <si>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</si>
  <si>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</si>
  <si>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</si>
  <si>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</si>
  <si>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</si>
  <si>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</si>
  <si>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</si>
  <si>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</si>
  <si>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</si>
  <si>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</si>
  <si>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</si>
  <si>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</si>
  <si>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</si>
  <si>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</si>
  <si>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</si>
  <si>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</si>
  <si>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</si>
  <si>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</si>
  <si>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</si>
  <si>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</si>
  <si>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</si>
  <si>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</si>
  <si>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</si>
  <si>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</si>
  <si>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</si>
  <si>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</si>
  <si>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</si>
  <si>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</si>
  <si>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</si>
  <si>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</si>
  <si>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</si>
  <si>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</si>
  <si>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</si>
  <si>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</si>
  <si>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</si>
  <si>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</si>
  <si>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</si>
  <si>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</si>
  <si>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</si>
  <si>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</si>
  <si>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</si>
  <si>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</si>
  <si>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</si>
  <si>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</si>
  <si>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</si>
  <si>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</si>
  <si>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</si>
  <si>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</si>
  <si>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</si>
  <si>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</si>
  <si>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</si>
  <si>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</si>
  <si>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</si>
  <si>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</si>
  <si>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</si>
  <si>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</si>
  <si>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</si>
  <si>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</si>
  <si>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</si>
  <si>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</si>
  <si>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</si>
  <si>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</si>
  <si>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</si>
  <si>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</si>
  <si>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</si>
  <si>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</si>
  <si>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</si>
  <si>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</si>
  <si>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</si>
  <si>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</si>
  <si>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</si>
  <si>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</si>
  <si>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</si>
  <si>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</si>
  <si>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</si>
  <si>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</si>
  <si>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</si>
  <si>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</si>
  <si>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</si>
  <si>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</si>
  <si>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</si>
  <si>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</si>
  <si>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</si>
  <si>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</si>
  <si>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</si>
  <si>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</si>
  <si>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</si>
  <si>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</si>
  <si>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</si>
  <si>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</si>
  <si>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</si>
  <si>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</si>
  <si>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</si>
  <si>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</si>
  <si>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</si>
  <si>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</si>
  <si>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</si>
  <si>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</si>
  <si>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</si>
  <si>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</si>
  <si>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</si>
  <si>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</si>
  <si>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</si>
  <si>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</si>
  <si>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</si>
  <si>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</si>
  <si>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</si>
  <si>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</si>
  <si>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</si>
  <si>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</si>
  <si>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</si>
  <si>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</si>
  <si>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</si>
  <si>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</si>
  <si>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</si>
  <si>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</si>
  <si>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</si>
  <si>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</si>
  <si>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</si>
  <si>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</si>
  <si>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</si>
  <si>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</si>
  <si>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</si>
  <si>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</si>
  <si>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</si>
  <si>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</si>
  <si>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</si>
  <si>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</si>
  <si>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</si>
  <si>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</si>
  <si>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</si>
  <si>
    <t>Odds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</si>
</sst>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CF-461B-B2D7-F2D4C7F456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F-461B-B2D7-F2D4C7F456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F-461B-B2D7-F2D4C7F45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907168"/>
        <c:axId val="1552903424"/>
      </c:lineChart>
      <c:catAx>
        <c:axId val="155290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03424"/>
        <c:crosses val="autoZero"/>
        <c:auto val="1"/>
        <c:lblAlgn val="ctr"/>
        <c:lblOffset val="100"/>
        <c:noMultiLvlLbl val="0"/>
      </c:catAx>
      <c:valAx>
        <c:axId val="15529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# of Each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07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Odds of Success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Date'!$Y$6:$Y$17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Date'!$Z$6:$Z$17</c:f>
              <c:numCache>
                <c:formatCode>General</c:formatCode>
                <c:ptCount val="12"/>
                <c:pt idx="0">
                  <c:v>1.696969696969697</c:v>
                </c:pt>
                <c:pt idx="1">
                  <c:v>1.8205128205128205</c:v>
                </c:pt>
                <c:pt idx="2">
                  <c:v>1.696969696969697</c:v>
                </c:pt>
                <c:pt idx="3">
                  <c:v>1.7749999999999999</c:v>
                </c:pt>
                <c:pt idx="4">
                  <c:v>2.1346153846153846</c:v>
                </c:pt>
                <c:pt idx="5">
                  <c:v>2.0408163265306123</c:v>
                </c:pt>
                <c:pt idx="6">
                  <c:v>1.74</c:v>
                </c:pt>
                <c:pt idx="7">
                  <c:v>1.5319148936170213</c:v>
                </c:pt>
                <c:pt idx="8">
                  <c:v>1.7352941176470589</c:v>
                </c:pt>
                <c:pt idx="9">
                  <c:v>1.3</c:v>
                </c:pt>
                <c:pt idx="10">
                  <c:v>1.7419354838709677</c:v>
                </c:pt>
                <c:pt idx="11">
                  <c:v>1.0571428571428572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8-41A3-9476-E3072FFB1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264432"/>
        <c:axId val="1771249040"/>
      </c:lineChart>
      <c:catAx>
        <c:axId val="17712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49040"/>
        <c:crosses val="autoZero"/>
        <c:auto val="1"/>
        <c:lblAlgn val="ctr"/>
        <c:lblOffset val="100"/>
        <c:noMultiLvlLbl val="0"/>
      </c:catAx>
      <c:valAx>
        <c:axId val="1771249040"/>
        <c:scaling>
          <c:orientation val="minMax"/>
          <c:max val="2.5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__ : 1 Odds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64432"/>
        <c:crosses val="autoZero"/>
        <c:crossBetween val="between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8-4656-9A6B-9A95346F6181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8-4656-9A6B-9A95346F6181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8-4656-9A6B-9A95346F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8063776"/>
        <c:axId val="1348064608"/>
      </c:barChart>
      <c:catAx>
        <c:axId val="134806377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4608"/>
        <c:crosses val="autoZero"/>
        <c:auto val="1"/>
        <c:lblAlgn val="ctr"/>
        <c:lblOffset val="100"/>
        <c:noMultiLvlLbl val="0"/>
      </c:catAx>
      <c:valAx>
        <c:axId val="13480646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3776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Odds of Success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Goals'!$AG$2:$AG$13</c:f>
              <c:numCache>
                <c:formatCode>General</c:formatCode>
                <c:ptCount val="12"/>
                <c:pt idx="0">
                  <c:v>3.1333333333333333</c:v>
                </c:pt>
                <c:pt idx="1">
                  <c:v>2.6575342465753424</c:v>
                </c:pt>
                <c:pt idx="2">
                  <c:v>1.2236842105263157</c:v>
                </c:pt>
                <c:pt idx="3">
                  <c:v>1.1818181818181819</c:v>
                </c:pt>
                <c:pt idx="4">
                  <c:v>1</c:v>
                </c:pt>
                <c:pt idx="5">
                  <c:v>0.81818181818181823</c:v>
                </c:pt>
                <c:pt idx="6">
                  <c:v>0.25</c:v>
                </c:pt>
                <c:pt idx="7">
                  <c:v>0.375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A-44FD-B4E7-C26ED250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8063776"/>
        <c:axId val="1348064608"/>
      </c:barChart>
      <c:catAx>
        <c:axId val="134806377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4608"/>
        <c:crosses val="autoZero"/>
        <c:auto val="1"/>
        <c:lblAlgn val="ctr"/>
        <c:lblOffset val="100"/>
        <c:noMultiLvlLbl val="0"/>
      </c:catAx>
      <c:valAx>
        <c:axId val="13480646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__ : 1 Odds</a:t>
                </a:r>
                <a:r>
                  <a:rPr lang="en-US" b="1" baseline="0"/>
                  <a:t> of Success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3776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0-44D9-AE47-8CA9449A5A2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0-44D9-AE47-8CA9449A5A2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0-44D9-AE47-8CA9449A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063776"/>
        <c:axId val="1348064608"/>
      </c:lineChart>
      <c:catAx>
        <c:axId val="134806377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4608"/>
        <c:crosses val="autoZero"/>
        <c:auto val="1"/>
        <c:lblAlgn val="ctr"/>
        <c:lblOffset val="100"/>
        <c:noMultiLvlLbl val="0"/>
      </c:catAx>
      <c:valAx>
        <c:axId val="13480646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37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6-494B-BE60-EE1A60E5F3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6-494B-BE60-EE1A60E5F3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6-494B-BE60-EE1A60E5F3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66-494B-BE60-EE1A60E5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624863"/>
        <c:axId val="411625279"/>
      </c:lineChart>
      <c:catAx>
        <c:axId val="4116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5279"/>
        <c:crosses val="autoZero"/>
        <c:auto val="1"/>
        <c:lblAlgn val="ctr"/>
        <c:lblOffset val="100"/>
        <c:noMultiLvlLbl val="0"/>
      </c:catAx>
      <c:valAx>
        <c:axId val="4116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3648901193286912"/>
          <c:y val="7.80986242815763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B-473A-83FE-406C386E7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B-473A-83FE-406C386E7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B-473A-83FE-406C386E7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B-473A-83FE-406C386E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8319"/>
        <c:axId val="469818399"/>
      </c:barChart>
      <c:catAx>
        <c:axId val="34933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18399"/>
        <c:crosses val="autoZero"/>
        <c:auto val="1"/>
        <c:lblAlgn val="ctr"/>
        <c:lblOffset val="100"/>
        <c:noMultiLvlLbl val="0"/>
      </c:catAx>
      <c:valAx>
        <c:axId val="4698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4-497E-B73D-A36E658488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4-497E-B73D-A36E658488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4-497E-B73D-A36E6584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9332079"/>
        <c:axId val="349337903"/>
      </c:barChart>
      <c:catAx>
        <c:axId val="34933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7903"/>
        <c:crosses val="autoZero"/>
        <c:auto val="1"/>
        <c:lblAlgn val="ctr"/>
        <c:lblOffset val="100"/>
        <c:noMultiLvlLbl val="0"/>
      </c:catAx>
      <c:valAx>
        <c:axId val="34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3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697CC49-39C3-42FC-8348-DBC897259EC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D42111-853F-4F58-82C7-BECCB3C486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136F70-D4F4-4355-AC74-8D8BE7085481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166687</xdr:rowOff>
    </xdr:from>
    <xdr:to>
      <xdr:col>13</xdr:col>
      <xdr:colOff>504825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79705-5C74-9857-D101-A73F1E874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5</xdr:row>
      <xdr:rowOff>0</xdr:rowOff>
    </xdr:from>
    <xdr:to>
      <xdr:col>34</xdr:col>
      <xdr:colOff>304800</xdr:colOff>
      <xdr:row>19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253BF8-6D78-4E36-B785-3E4627760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0</xdr:rowOff>
    </xdr:from>
    <xdr:to>
      <xdr:col>31</xdr:col>
      <xdr:colOff>304800</xdr:colOff>
      <xdr:row>14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1D2B3C-F2F5-48B8-B73A-3B506470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0</xdr:row>
      <xdr:rowOff>0</xdr:rowOff>
    </xdr:from>
    <xdr:to>
      <xdr:col>41</xdr:col>
      <xdr:colOff>304800</xdr:colOff>
      <xdr:row>14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A90C0F-81D3-4BFC-83ED-E4BD673AE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0</xdr:rowOff>
    </xdr:from>
    <xdr:to>
      <xdr:col>4</xdr:col>
      <xdr:colOff>142875</xdr:colOff>
      <xdr:row>28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69C0ED-8C96-41C7-B38E-85D234808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4</xdr:row>
      <xdr:rowOff>100012</xdr:rowOff>
    </xdr:from>
    <xdr:to>
      <xdr:col>14</xdr:col>
      <xdr:colOff>276225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EBDF2-B8AA-3E19-CD49-3E5A2A711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176211</xdr:rowOff>
    </xdr:from>
    <xdr:to>
      <xdr:col>16</xdr:col>
      <xdr:colOff>104774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177A9-ADE4-E31D-7A7D-77E48AAFB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20</xdr:row>
      <xdr:rowOff>166687</xdr:rowOff>
    </xdr:from>
    <xdr:to>
      <xdr:col>26</xdr:col>
      <xdr:colOff>180975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17BB-DF4B-852C-EFBD-E3277A2D7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5E35D7-0887-7EB1-5090-3D812A7705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66362D-4A3A-541D-290D-95D9933FF8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778433680556" createdVersion="8" refreshedVersion="8" minRefreshableVersion="3" recordCount="4114" xr:uid="{0B24B85D-9F46-4A89-9994-6262826CFC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78.824610995369" createdVersion="8" refreshedVersion="8" minRefreshableVersion="3" recordCount="4114" xr:uid="{0B0C0528-8DFC-4D53-9FC8-596982A467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ood" refreshedDate="44884.695192245374" createdVersion="8" refreshedVersion="8" minRefreshableVersion="3" recordCount="4114" xr:uid="{A0D27433-D5FE-4177-AD5E-091C95183C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84109-693A-4239-B29C-98F800C84BE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95C11-5649-410A-A860-FFB614D6147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BA6BA-C448-455B-B13D-F9E28D3F014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51681-F292-4582-86EB-A9CBF007804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6298-FCE6-4CBA-895E-A970F63D9208}">
  <sheetPr>
    <tabColor theme="9"/>
  </sheetPr>
  <dimension ref="A1:Z18"/>
  <sheetViews>
    <sheetView workbookViewId="0">
      <selection activeCell="S1" sqref="S1:S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26" x14ac:dyDescent="0.25">
      <c r="A1" s="11" t="s">
        <v>8358</v>
      </c>
      <c r="B1" t="s">
        <v>8315</v>
      </c>
    </row>
    <row r="2" spans="1:26" x14ac:dyDescent="0.25">
      <c r="A2" s="11" t="s">
        <v>8379</v>
      </c>
      <c r="B2" t="s">
        <v>8364</v>
      </c>
    </row>
    <row r="4" spans="1:26" x14ac:dyDescent="0.25">
      <c r="A4" s="11" t="s">
        <v>8363</v>
      </c>
      <c r="B4" s="11" t="s">
        <v>8360</v>
      </c>
    </row>
    <row r="5" spans="1:26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  <c r="Z5" s="17" t="s">
        <v>8417</v>
      </c>
    </row>
    <row r="6" spans="1:26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Y6" t="s">
        <v>8373</v>
      </c>
      <c r="Z6">
        <f>GETPIVOTDATA("outcomes",$A$4,"outcomes","successful","Date Created Conversion",1)/GETPIVOTDATA("outcomes",$A$4,"outcomes","failed","Date Created Conversion",1)</f>
        <v>1.696969696969697</v>
      </c>
    </row>
    <row r="7" spans="1:26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  <c r="Y7" t="s">
        <v>8374</v>
      </c>
      <c r="Z7">
        <f>GETPIVOTDATA("outcomes",$A$4,"outcomes","successful","Date Created Conversion",2)/GETPIVOTDATA("outcomes",$A$4,"outcomes","failed","Date Created Conversion",2)</f>
        <v>1.8205128205128205</v>
      </c>
    </row>
    <row r="8" spans="1:26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Y8" t="s">
        <v>8375</v>
      </c>
      <c r="Z8">
        <f>GETPIVOTDATA("outcomes",$A$4,"outcomes","successful","Date Created Conversion",3)/GETPIVOTDATA("outcomes",$A$4,"outcomes","failed","Date Created Conversion",3)</f>
        <v>1.696969696969697</v>
      </c>
    </row>
    <row r="9" spans="1:26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  <c r="Y9" t="s">
        <v>8376</v>
      </c>
      <c r="Z9">
        <f>GETPIVOTDATA("outcomes",$A$4,"outcomes","successful","Date Created Conversion",4)/GETPIVOTDATA("outcomes",$A$4,"outcomes","failed","Date Created Conversion",4)</f>
        <v>1.7749999999999999</v>
      </c>
    </row>
    <row r="10" spans="1:26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  <c r="Y10" t="s">
        <v>8367</v>
      </c>
      <c r="Z10">
        <f>GETPIVOTDATA("outcomes",$A$4,"outcomes","successful","Date Created Conversion",5)/GETPIVOTDATA("outcomes",$A$4,"outcomes","failed","Date Created Conversion",5)</f>
        <v>2.1346153846153846</v>
      </c>
    </row>
    <row r="11" spans="1:26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  <c r="Y11" t="s">
        <v>8377</v>
      </c>
      <c r="Z11">
        <f>GETPIVOTDATA("outcomes",$A$4,"outcomes","successful","Date Created Conversion",6)/GETPIVOTDATA("outcomes",$A$4,"outcomes","failed","Date Created Conversion",6)</f>
        <v>2.0408163265306123</v>
      </c>
    </row>
    <row r="12" spans="1:26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  <c r="Y12" t="s">
        <v>8368</v>
      </c>
      <c r="Z12">
        <f>GETPIVOTDATA("outcomes",$A$4,"outcomes","successful","Date Created Conversion",7)/GETPIVOTDATA("outcomes",$A$4,"outcomes","failed","Date Created Conversion",7)</f>
        <v>1.74</v>
      </c>
    </row>
    <row r="13" spans="1:26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  <c r="Y13" t="s">
        <v>8369</v>
      </c>
      <c r="Z13">
        <f>GETPIVOTDATA("outcomes",$A$4,"outcomes","successful","Date Created Conversion",8)/GETPIVOTDATA("outcomes",$A$4,"outcomes","failed","Date Created Conversion",8)</f>
        <v>1.5319148936170213</v>
      </c>
    </row>
    <row r="14" spans="1:26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Y14" t="s">
        <v>8370</v>
      </c>
      <c r="Z14">
        <f>GETPIVOTDATA("outcomes",$A$4,"outcomes","successful","Date Created Conversion",9)/GETPIVOTDATA("outcomes",$A$4,"outcomes","failed","Date Created Conversion",9)</f>
        <v>1.7352941176470589</v>
      </c>
    </row>
    <row r="15" spans="1:26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  <c r="Y15" t="s">
        <v>8371</v>
      </c>
      <c r="Z15">
        <f>GETPIVOTDATA("outcomes",$A$4,"outcomes","successful","Date Created Conversion",10)/GETPIVOTDATA("outcomes",$A$4,"outcomes","failed","Date Created Conversion",10)</f>
        <v>1.3</v>
      </c>
    </row>
    <row r="16" spans="1:26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Y16" t="s">
        <v>8372</v>
      </c>
      <c r="Z16">
        <f>GETPIVOTDATA("outcomes",$A$4,"outcomes","successful","Date Created Conversion",11)/GETPIVOTDATA("outcomes",$A$4,"outcomes","failed","Date Created Conversion",11)</f>
        <v>1.7419354838709677</v>
      </c>
    </row>
    <row r="17" spans="1:26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Y17" t="s">
        <v>8378</v>
      </c>
      <c r="Z17">
        <f>GETPIVOTDATA("outcomes",$A$4,"outcomes","successful","Date Created Conversion",12)/GETPIVOTDATA("outcomes",$A$4,"outcomes","failed","Date Created Conversion",12)</f>
        <v>1.0571428571428572</v>
      </c>
    </row>
    <row r="18" spans="1:26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7066-201C-476E-9643-DA38D3C33569}">
  <sheetPr>
    <tabColor theme="9"/>
  </sheetPr>
  <dimension ref="A1:AG13"/>
  <sheetViews>
    <sheetView tabSelected="1" workbookViewId="0">
      <selection activeCell="F16" sqref="F16"/>
    </sheetView>
  </sheetViews>
  <sheetFormatPr defaultRowHeight="15" x14ac:dyDescent="0.25"/>
  <cols>
    <col min="1" max="1" width="17" bestFit="1" customWidth="1"/>
    <col min="2" max="2" width="18.140625" customWidth="1"/>
    <col min="3" max="3" width="14.28515625" customWidth="1"/>
    <col min="4" max="4" width="17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33" s="17" customFormat="1" x14ac:dyDescent="0.25">
      <c r="A1" s="17" t="s">
        <v>8381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  <c r="AG1" s="17" t="s">
        <v>8417</v>
      </c>
    </row>
    <row r="2" spans="1:33" x14ac:dyDescent="0.25">
      <c r="A2" t="s">
        <v>8405</v>
      </c>
      <c r="B2" s="18">
        <f>COUNTIFS(Kickstarter!$F:$F,"successful",Kickstarter!$D:$D,"&lt;1000",Kickstarter!$R:$R,"plays")</f>
        <v>141</v>
      </c>
      <c r="C2" s="18">
        <f>COUNTIFS(Kickstarter!$F:$F,"failed",Kickstarter!$D:$D,"&lt;1000",Kickstarter!$R:$R,"plays")</f>
        <v>45</v>
      </c>
      <c r="D2" s="18">
        <f>COUNTIFS(Kickstarter!$F:$F,"canceled",Kickstarter!$D:$D,"&lt;1000",Kickstarter!$R:$R,"plays")</f>
        <v>0</v>
      </c>
      <c r="E2" s="18">
        <f>SUM(B2:D2)</f>
        <v>186</v>
      </c>
      <c r="F2" s="19">
        <f>B2/$E2*100</f>
        <v>75.806451612903231</v>
      </c>
      <c r="G2" s="19">
        <f t="shared" ref="G2:H13" si="0">C2/$E2*100</f>
        <v>24.193548387096776</v>
      </c>
      <c r="H2" s="19">
        <f t="shared" si="0"/>
        <v>0</v>
      </c>
      <c r="AG2">
        <f>B2/C2</f>
        <v>3.1333333333333333</v>
      </c>
    </row>
    <row r="3" spans="1:33" x14ac:dyDescent="0.25">
      <c r="A3" t="s">
        <v>8406</v>
      </c>
      <c r="B3" s="18">
        <f>COUNTIFS(Kickstarter!$F:$F,"successful",Kickstarter!$D:$D,"&gt;=1000",Kickstarter!$D:$D,"&lt;5000",Kickstarter!$R:$R,"plays")</f>
        <v>388</v>
      </c>
      <c r="C3" s="18">
        <f>COUNTIFS(Kickstarter!$F:$F,"failed",Kickstarter!$D:$D,"&gt;=1000",Kickstarter!$D:$D,"&lt;5000",Kickstarter!$R:$R,"plays")</f>
        <v>146</v>
      </c>
      <c r="D3" s="18">
        <f>COUNTIFS(Kickstarter!$F:$F,"canceled",Kickstarter!$D:$D,"&gt;=1000",Kickstarter!$D:$D,"&lt;5000",Kickstarter!$R:$R,"plays")</f>
        <v>0</v>
      </c>
      <c r="E3" s="18">
        <f t="shared" ref="E3:E13" si="1">SUM(B3:D3)</f>
        <v>534</v>
      </c>
      <c r="F3" s="19">
        <f t="shared" ref="F3:F13" si="2">B3/$E3*100</f>
        <v>72.659176029962552</v>
      </c>
      <c r="G3" s="19">
        <f t="shared" si="0"/>
        <v>27.340823970037455</v>
      </c>
      <c r="H3" s="19">
        <f t="shared" si="0"/>
        <v>0</v>
      </c>
      <c r="AG3">
        <f t="shared" ref="AG3:AG13" si="3">B3/C3</f>
        <v>2.6575342465753424</v>
      </c>
    </row>
    <row r="4" spans="1:33" x14ac:dyDescent="0.25">
      <c r="A4" t="s">
        <v>8407</v>
      </c>
      <c r="B4" s="18">
        <f>COUNTIFS(Kickstarter!$F:$F,"successful",Kickstarter!$D:$D,"&gt;=5000",Kickstarter!$D:$D,"&lt;10000",Kickstarter!$R:$R,"plays")</f>
        <v>93</v>
      </c>
      <c r="C4" s="18">
        <f>COUNTIFS(Kickstarter!$F:$F,"failed",Kickstarter!$D:$D,"&gt;=5000",Kickstarter!$D:$D,"&lt;10000",Kickstarter!$R:$R,"plays")</f>
        <v>76</v>
      </c>
      <c r="D4" s="18">
        <f>COUNTIFS(Kickstarter!$F:$F,"canceled",Kickstarter!$D:$D,"&gt;=5000",Kickstarter!$D:$D,"&lt;10000",Kickstarter!$R:$R,"plays")</f>
        <v>0</v>
      </c>
      <c r="E4" s="18">
        <f t="shared" si="1"/>
        <v>169</v>
      </c>
      <c r="F4" s="19">
        <f t="shared" si="2"/>
        <v>55.029585798816569</v>
      </c>
      <c r="G4" s="19">
        <f t="shared" si="0"/>
        <v>44.970414201183431</v>
      </c>
      <c r="H4" s="19">
        <f t="shared" si="0"/>
        <v>0</v>
      </c>
      <c r="AG4">
        <f t="shared" si="3"/>
        <v>1.2236842105263157</v>
      </c>
    </row>
    <row r="5" spans="1:33" x14ac:dyDescent="0.25">
      <c r="A5" t="s">
        <v>8408</v>
      </c>
      <c r="B5" s="18">
        <f>COUNTIFS(Kickstarter!$F:$F,"successful",Kickstarter!$D:$D,"&gt;=10000",Kickstarter!$D:$D,"&lt;15000",Kickstarter!$R:$R,"plays")</f>
        <v>39</v>
      </c>
      <c r="C5" s="18">
        <f>COUNTIFS(Kickstarter!$F:$F,"failed",Kickstarter!$D:$D,"&gt;=10000",Kickstarter!$D:$D,"&lt;15000",Kickstarter!$R:$R,"plays")</f>
        <v>33</v>
      </c>
      <c r="D5" s="18">
        <f>COUNTIFS(Kickstarter!$F:$F,"canceled",Kickstarter!$D:$D,"&gt;=10000",Kickstarter!$D:$D,"&lt;15000",Kickstarter!$R:$R,"plays")</f>
        <v>0</v>
      </c>
      <c r="E5" s="18">
        <f t="shared" si="1"/>
        <v>72</v>
      </c>
      <c r="F5" s="19">
        <f t="shared" si="2"/>
        <v>54.166666666666664</v>
      </c>
      <c r="G5" s="19">
        <f t="shared" si="0"/>
        <v>45.833333333333329</v>
      </c>
      <c r="H5" s="19">
        <f t="shared" si="0"/>
        <v>0</v>
      </c>
      <c r="AG5">
        <f t="shared" si="3"/>
        <v>1.1818181818181819</v>
      </c>
    </row>
    <row r="6" spans="1:33" x14ac:dyDescent="0.25">
      <c r="A6" t="s">
        <v>8409</v>
      </c>
      <c r="B6" s="18">
        <f>COUNTIFS(Kickstarter!$F:$F,"successful",Kickstarter!$D:$D,"&gt;=15000",Kickstarter!$D:$D,"&lt;20000",Kickstarter!$R:$R,"plays")</f>
        <v>12</v>
      </c>
      <c r="C6" s="18">
        <f>COUNTIFS(Kickstarter!$F:$F,"failed",Kickstarter!$D:$D,"&gt;=15000",Kickstarter!$D:$D,"&lt;20000",Kickstarter!$R:$R,"plays")</f>
        <v>12</v>
      </c>
      <c r="D6" s="18">
        <f>COUNTIFS(Kickstarter!$F:$F,"canceled",Kickstarter!$D:$D,"&gt;=15000",Kickstarter!$D:$D,"&lt;20000",Kickstarter!$R:$R,"plays")</f>
        <v>0</v>
      </c>
      <c r="E6" s="18">
        <f t="shared" si="1"/>
        <v>24</v>
      </c>
      <c r="F6" s="19">
        <f t="shared" si="2"/>
        <v>50</v>
      </c>
      <c r="G6" s="19">
        <f t="shared" si="0"/>
        <v>50</v>
      </c>
      <c r="H6" s="19">
        <f t="shared" si="0"/>
        <v>0</v>
      </c>
      <c r="AG6">
        <f t="shared" si="3"/>
        <v>1</v>
      </c>
    </row>
    <row r="7" spans="1:33" x14ac:dyDescent="0.25">
      <c r="A7" t="s">
        <v>8410</v>
      </c>
      <c r="B7" s="18">
        <f>COUNTIFS(Kickstarter!$F:$F,"successful",Kickstarter!$D:$D,"&gt;=20000",Kickstarter!$D:$D,"&lt;25000",Kickstarter!$R:$R,"plays")</f>
        <v>9</v>
      </c>
      <c r="C7" s="18">
        <f>COUNTIFS(Kickstarter!$F:$F,"failed",Kickstarter!$D:$D,"&gt;=20000",Kickstarter!$D:$D,"&lt;25000",Kickstarter!$R:$R,"plays")</f>
        <v>11</v>
      </c>
      <c r="D7" s="18">
        <f>COUNTIFS(Kickstarter!$F:$F,"canceled",Kickstarter!$D:$D,"&gt;=20000",Kickstarter!$D:$D,"&lt;25000",Kickstarter!$R:$R,"plays")</f>
        <v>0</v>
      </c>
      <c r="E7" s="18">
        <f t="shared" si="1"/>
        <v>20</v>
      </c>
      <c r="F7" s="19">
        <f t="shared" si="2"/>
        <v>45</v>
      </c>
      <c r="G7" s="19">
        <f t="shared" si="0"/>
        <v>55.000000000000007</v>
      </c>
      <c r="H7" s="19">
        <f t="shared" si="0"/>
        <v>0</v>
      </c>
      <c r="AG7">
        <f t="shared" si="3"/>
        <v>0.81818181818181823</v>
      </c>
    </row>
    <row r="8" spans="1:33" x14ac:dyDescent="0.25">
      <c r="A8" t="s">
        <v>8411</v>
      </c>
      <c r="B8" s="18">
        <f>COUNTIFS(Kickstarter!$F:$F,"successful",Kickstarter!$D:$D,"&gt;=25000",Kickstarter!$D:$D,"&lt;30000",Kickstarter!$R:$R,"plays")</f>
        <v>1</v>
      </c>
      <c r="C8" s="18">
        <f>COUNTIFS(Kickstarter!$F:$F,"failed",Kickstarter!$D:$D,"&gt;=25000",Kickstarter!$D:$D,"&lt;30000",Kickstarter!$R:$R,"plays")</f>
        <v>4</v>
      </c>
      <c r="D8" s="18">
        <f>COUNTIFS(Kickstarter!$F:$F,"canceled",Kickstarter!$D:$D,"&gt;=25000",Kickstarter!$D:$D,"&lt;30000",Kickstarter!$R:$R,"plays")</f>
        <v>0</v>
      </c>
      <c r="E8" s="18">
        <f t="shared" si="1"/>
        <v>5</v>
      </c>
      <c r="F8" s="19">
        <f t="shared" si="2"/>
        <v>20</v>
      </c>
      <c r="G8" s="19">
        <f t="shared" si="0"/>
        <v>80</v>
      </c>
      <c r="H8" s="19">
        <f t="shared" si="0"/>
        <v>0</v>
      </c>
      <c r="AG8">
        <f t="shared" si="3"/>
        <v>0.25</v>
      </c>
    </row>
    <row r="9" spans="1:33" x14ac:dyDescent="0.25">
      <c r="A9" t="s">
        <v>8412</v>
      </c>
      <c r="B9" s="18">
        <f>COUNTIFS(Kickstarter!$F:$F,"successful",Kickstarter!$D:$D,"&gt;=30000",Kickstarter!$D:$D,"&lt;35000",Kickstarter!$R:$R,"plays")</f>
        <v>3</v>
      </c>
      <c r="C9" s="18">
        <f>COUNTIFS(Kickstarter!$F:$F,"failed",Kickstarter!$D:$D,"&gt;=30000",Kickstarter!$D:$D,"&lt;35000",Kickstarter!$R:$R,"plays")</f>
        <v>8</v>
      </c>
      <c r="D9" s="18">
        <f>COUNTIFS(Kickstarter!$F:$F,"canceled",Kickstarter!$D:$D,"&gt;=30000",Kickstarter!$D:$D,"&lt;35000",Kickstarter!$R:$R,"plays")</f>
        <v>0</v>
      </c>
      <c r="E9" s="18">
        <f t="shared" si="1"/>
        <v>11</v>
      </c>
      <c r="F9" s="19">
        <f t="shared" si="2"/>
        <v>27.27272727272727</v>
      </c>
      <c r="G9" s="19">
        <f t="shared" si="0"/>
        <v>72.727272727272734</v>
      </c>
      <c r="H9" s="19">
        <f t="shared" si="0"/>
        <v>0</v>
      </c>
      <c r="AG9">
        <f t="shared" si="3"/>
        <v>0.375</v>
      </c>
    </row>
    <row r="10" spans="1:33" x14ac:dyDescent="0.25">
      <c r="A10" t="s">
        <v>8413</v>
      </c>
      <c r="B10" s="18">
        <f>COUNTIFS(Kickstarter!$F:$F,"successful",Kickstarter!$D:$D,"&gt;=35000",Kickstarter!$D:$D,"&lt;40000",Kickstarter!$R:$R,"plays")</f>
        <v>4</v>
      </c>
      <c r="C10" s="18">
        <f>COUNTIFS(Kickstarter!$F:$F,"failed",Kickstarter!$D:$D,"&gt;=35000",Kickstarter!$D:$D,"&lt;40000",Kickstarter!$R:$R,"plays")</f>
        <v>2</v>
      </c>
      <c r="D10" s="18">
        <f>COUNTIFS(Kickstarter!$F:$F,"canceled",Kickstarter!$D:$D,"&gt;=35000",Kickstarter!$D:$D,"&lt;40000",Kickstarter!$R:$R,"plays")</f>
        <v>0</v>
      </c>
      <c r="E10" s="18">
        <f t="shared" si="1"/>
        <v>6</v>
      </c>
      <c r="F10" s="19">
        <f t="shared" si="2"/>
        <v>66.666666666666657</v>
      </c>
      <c r="G10" s="19">
        <f t="shared" si="0"/>
        <v>33.333333333333329</v>
      </c>
      <c r="H10" s="19">
        <f t="shared" si="0"/>
        <v>0</v>
      </c>
      <c r="AG10">
        <f t="shared" si="3"/>
        <v>2</v>
      </c>
    </row>
    <row r="11" spans="1:33" x14ac:dyDescent="0.25">
      <c r="A11" t="s">
        <v>8414</v>
      </c>
      <c r="B11" s="18">
        <f>COUNTIFS(Kickstarter!$F:$F,"successful",Kickstarter!$D:$D,"&gt;=40000",Kickstarter!$D:$D,"&lt;45000",Kickstarter!$R:$R,"plays")</f>
        <v>2</v>
      </c>
      <c r="C11" s="18">
        <f>COUNTIFS(Kickstarter!$F:$F,"failed",Kickstarter!$D:$D,"&gt;=40000",Kickstarter!$D:$D,"&lt;45000",Kickstarter!$R:$R,"plays")</f>
        <v>1</v>
      </c>
      <c r="D11" s="18">
        <f>COUNTIFS(Kickstarter!$F:$F,"canceled",Kickstarter!$D:$D,"&gt;=40000",Kickstarter!$D:$D,"&lt;45000",Kickstarter!$R:$R,"plays")</f>
        <v>0</v>
      </c>
      <c r="E11" s="18">
        <f t="shared" si="1"/>
        <v>3</v>
      </c>
      <c r="F11" s="19">
        <f t="shared" si="2"/>
        <v>66.666666666666657</v>
      </c>
      <c r="G11" s="19">
        <f t="shared" si="0"/>
        <v>33.333333333333329</v>
      </c>
      <c r="H11" s="19">
        <f t="shared" si="0"/>
        <v>0</v>
      </c>
      <c r="AG11">
        <f t="shared" si="3"/>
        <v>2</v>
      </c>
    </row>
    <row r="12" spans="1:33" x14ac:dyDescent="0.25">
      <c r="A12" t="s">
        <v>8415</v>
      </c>
      <c r="B12" s="18">
        <f>COUNTIFS(Kickstarter!$F:$F,"successful",Kickstarter!$D:$D,"&gt;=45000",Kickstarter!$D:$D,"&lt;50000",Kickstarter!$R:$R,"plays")</f>
        <v>0</v>
      </c>
      <c r="C12" s="18">
        <f>COUNTIFS(Kickstarter!$F:$F,"failed",Kickstarter!$D:$D,"&gt;=45000",Kickstarter!$D:$D,"&lt;50000",Kickstarter!$R:$R,"plays")</f>
        <v>1</v>
      </c>
      <c r="D12" s="18">
        <f>COUNTIFS(Kickstarter!$F:$F,"canceled",Kickstarter!$D:$D,"&gt;=45000",Kickstarter!$D:$D,"&lt;50000",Kickstarter!$R:$R,"plays")</f>
        <v>0</v>
      </c>
      <c r="E12" s="18">
        <f t="shared" si="1"/>
        <v>1</v>
      </c>
      <c r="F12" s="19">
        <f t="shared" si="2"/>
        <v>0</v>
      </c>
      <c r="G12" s="19">
        <f t="shared" si="0"/>
        <v>100</v>
      </c>
      <c r="H12" s="19">
        <f t="shared" si="0"/>
        <v>0</v>
      </c>
      <c r="AG12">
        <f t="shared" si="3"/>
        <v>0</v>
      </c>
    </row>
    <row r="13" spans="1:33" x14ac:dyDescent="0.25">
      <c r="A13" t="s">
        <v>8416</v>
      </c>
      <c r="B13" s="18">
        <f>COUNTIFS(Kickstarter!$F:$F,"successful",Kickstarter!$D:$D,"&gt;=50000",Kickstarter!$R:$R,"plays")</f>
        <v>2</v>
      </c>
      <c r="C13" s="18">
        <f>COUNTIFS(Kickstarter!$F:$F,"failed",Kickstarter!$D:$D,"&gt;=50000",Kickstarter!$R:$R,"plays")</f>
        <v>14</v>
      </c>
      <c r="D13" s="18">
        <f>COUNTIFS(Kickstarter!$F:$F,"canceled",Kickstarter!$D:$D,"&gt;=50000",Kickstarter!$R:$R,"plays")</f>
        <v>0</v>
      </c>
      <c r="E13" s="18">
        <f t="shared" si="1"/>
        <v>16</v>
      </c>
      <c r="F13" s="19">
        <f t="shared" si="2"/>
        <v>12.5</v>
      </c>
      <c r="G13" s="19">
        <f t="shared" si="0"/>
        <v>87.5</v>
      </c>
      <c r="H13" s="19">
        <f t="shared" si="0"/>
        <v>0</v>
      </c>
      <c r="AG13">
        <f t="shared" si="3"/>
        <v>0.14285714285714285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autoFilter ref="A1:U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81BC-079F-4E10-A1AD-82CF029F7425}">
  <dimension ref="A1:F18"/>
  <sheetViews>
    <sheetView workbookViewId="0">
      <selection activeCell="R27" sqref="R26: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0183-40F0-44C1-BAC6-C77AB69A993D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A60C-8639-4227-B21E-5A03371B6A04}">
  <dimension ref="A1:F6"/>
  <sheetViews>
    <sheetView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0238-C556-465A-9CE7-D7D16E241A5D}">
  <dimension ref="A1:E7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2348-33A2-40D9-B648-DD79F59F7BE4}">
  <dimension ref="A1:T413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0B08-8586-4936-8B54-DB188345782F}">
  <dimension ref="A1:T251"/>
  <sheetViews>
    <sheetView workbookViewId="0">
      <selection sqref="A1:T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0A30-5BAF-402B-AB4B-0EE89E8168B3}">
  <dimension ref="A1:C14"/>
  <sheetViews>
    <sheetView workbookViewId="0">
      <selection activeCell="C4" sqref="C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Outcomes Based on Launch Date</vt:lpstr>
      <vt:lpstr>Edinburgh Research</vt:lpstr>
      <vt:lpstr>Category Statistics</vt:lpstr>
      <vt:lpstr>Subcategory Statistics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Wood</cp:lastModifiedBy>
  <dcterms:created xsi:type="dcterms:W3CDTF">2017-04-20T15:17:24Z</dcterms:created>
  <dcterms:modified xsi:type="dcterms:W3CDTF">2022-11-20T19:44:46Z</dcterms:modified>
</cp:coreProperties>
</file>