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public_html\Satellite communications\Lecture 14\"/>
    </mc:Choice>
  </mc:AlternateContent>
  <bookViews>
    <workbookView xWindow="240" yWindow="165" windowWidth="22995" windowHeight="9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0" i="1" l="1"/>
  <c r="F12" i="1"/>
  <c r="N37" i="1" l="1"/>
  <c r="N5" i="1"/>
  <c r="N8" i="1" s="1"/>
  <c r="N11" i="1" s="1"/>
  <c r="N27" i="1"/>
  <c r="F31" i="1"/>
  <c r="G31" i="1" s="1"/>
  <c r="H31" i="1" s="1"/>
  <c r="I31" i="1" s="1"/>
  <c r="F32" i="1"/>
  <c r="G32" i="1" s="1"/>
  <c r="H32" i="1" s="1"/>
  <c r="I32" i="1" s="1"/>
  <c r="F33" i="1"/>
  <c r="G33" i="1"/>
  <c r="H33" i="1" s="1"/>
  <c r="I33" i="1" s="1"/>
  <c r="F30" i="1"/>
  <c r="G30" i="1" s="1"/>
  <c r="H30" i="1" s="1"/>
  <c r="I30" i="1" s="1"/>
  <c r="F26" i="1"/>
  <c r="G26" i="1" s="1"/>
  <c r="H26" i="1" s="1"/>
  <c r="I26" i="1" s="1"/>
  <c r="F27" i="1"/>
  <c r="G27" i="1" s="1"/>
  <c r="H27" i="1" s="1"/>
  <c r="I27" i="1" s="1"/>
  <c r="F28" i="1"/>
  <c r="G28" i="1" s="1"/>
  <c r="H28" i="1" s="1"/>
  <c r="I28" i="1" s="1"/>
  <c r="F25" i="1"/>
  <c r="G25" i="1" s="1"/>
  <c r="H25" i="1" s="1"/>
  <c r="I25" i="1" s="1"/>
  <c r="F22" i="1"/>
  <c r="G22" i="1" s="1"/>
  <c r="H22" i="1" s="1"/>
  <c r="F23" i="1"/>
  <c r="G23" i="1" s="1"/>
  <c r="H23" i="1" s="1"/>
  <c r="I23" i="1" s="1"/>
  <c r="F21" i="1"/>
  <c r="G21" i="1" s="1"/>
  <c r="H21" i="1" s="1"/>
  <c r="I21" i="1" s="1"/>
  <c r="N17" i="1"/>
  <c r="N14" i="1"/>
  <c r="I22" i="1" l="1"/>
  <c r="N18" i="1"/>
  <c r="N19" i="1" s="1"/>
  <c r="N22" i="1" s="1"/>
  <c r="N25" i="1" s="1"/>
  <c r="N26" i="1" s="1"/>
  <c r="N28" i="1" s="1"/>
  <c r="N31" i="1" l="1"/>
  <c r="N34" i="1" s="1"/>
  <c r="N38" i="1" s="1"/>
  <c r="D41" i="1" s="1"/>
  <c r="F41" i="1" s="1"/>
  <c r="D42" i="1" s="1"/>
  <c r="G45" i="1" s="1"/>
  <c r="G46" i="1" l="1"/>
  <c r="G47" i="1"/>
</calcChain>
</file>

<file path=xl/sharedStrings.xml><?xml version="1.0" encoding="utf-8"?>
<sst xmlns="http://schemas.openxmlformats.org/spreadsheetml/2006/main" count="109" uniqueCount="80">
  <si>
    <t>Rain attenuation modeling - ITU-R P.618-09</t>
  </si>
  <si>
    <t>Inputs</t>
  </si>
  <si>
    <t>Frequency</t>
  </si>
  <si>
    <t>GHz</t>
  </si>
  <si>
    <t>Climate region</t>
  </si>
  <si>
    <t>Height of ES above MSL</t>
  </si>
  <si>
    <t>Latitude of ES</t>
  </si>
  <si>
    <t>Effective Earth radius</t>
  </si>
  <si>
    <t>km</t>
  </si>
  <si>
    <t>degrees</t>
  </si>
  <si>
    <t>Climate zone</t>
  </si>
  <si>
    <t>R(0.01%)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</si>
  <si>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</si>
  <si>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</si>
  <si>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</si>
  <si>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</si>
  <si>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</si>
  <si>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</si>
  <si>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</si>
  <si>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</si>
  <si>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</si>
  <si>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</si>
  <si>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</si>
  <si>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</si>
  <si>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</si>
  <si>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</si>
  <si>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</si>
  <si>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mm/h</t>
  </si>
  <si>
    <t>Step 1</t>
  </si>
  <si>
    <t xml:space="preserve">Satellite elevation </t>
  </si>
  <si>
    <t>Step 2</t>
  </si>
  <si>
    <t>Slant path (Ls)</t>
  </si>
  <si>
    <t>Height of rain (hR')</t>
  </si>
  <si>
    <t>Step 3</t>
  </si>
  <si>
    <t>Horizontal projection (LG)</t>
  </si>
  <si>
    <t>Step 4</t>
  </si>
  <si>
    <t>Step 5</t>
  </si>
  <si>
    <t>k</t>
  </si>
  <si>
    <t>a</t>
  </si>
  <si>
    <t xml:space="preserve">Polarization </t>
  </si>
  <si>
    <t>f (GHz)</t>
  </si>
  <si>
    <t>kH</t>
  </si>
  <si>
    <t>aH</t>
  </si>
  <si>
    <t>aV</t>
  </si>
  <si>
    <t>kV</t>
  </si>
  <si>
    <t>dB/km</t>
  </si>
  <si>
    <t>Specific attenuation (gammaR)</t>
  </si>
  <si>
    <t>Step 6</t>
  </si>
  <si>
    <t>Step 7</t>
  </si>
  <si>
    <t>Percentage of the year</t>
  </si>
  <si>
    <t>%</t>
  </si>
  <si>
    <t>H=1,V=2</t>
  </si>
  <si>
    <t>ksi</t>
  </si>
  <si>
    <t>LR</t>
  </si>
  <si>
    <t>hi</t>
  </si>
  <si>
    <t>deg</t>
  </si>
  <si>
    <t>Horizontal reduction @0.01% (r0.01)</t>
  </si>
  <si>
    <t>vertical reduction @0.01% (v0.01)</t>
  </si>
  <si>
    <t>Step 8</t>
  </si>
  <si>
    <t>Effective path (LE)</t>
  </si>
  <si>
    <t>Step 9</t>
  </si>
  <si>
    <t>dB</t>
  </si>
  <si>
    <t>Step 10</t>
  </si>
  <si>
    <t>Rain attenuation @0.01 (A0.01)</t>
  </si>
  <si>
    <t>beta</t>
  </si>
  <si>
    <t>Ap</t>
  </si>
  <si>
    <t xml:space="preserve">A </t>
  </si>
  <si>
    <t xml:space="preserve">C </t>
  </si>
  <si>
    <t xml:space="preserve">D </t>
  </si>
  <si>
    <t>hours/year</t>
  </si>
  <si>
    <t xml:space="preserve">Average SNR </t>
  </si>
  <si>
    <t>Rain fade margin</t>
  </si>
  <si>
    <t>linear</t>
  </si>
  <si>
    <t>Efficiency</t>
  </si>
  <si>
    <t>bps/Hz</t>
  </si>
  <si>
    <t>Bandwidth</t>
  </si>
  <si>
    <t>MHz</t>
  </si>
  <si>
    <t>Throughput</t>
  </si>
  <si>
    <t>Mbps</t>
  </si>
  <si>
    <t>Theoretical SE - no 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</si>
</sst>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4" xfId="0" applyNumberFormat="1" applyFont="1" applyBorder="1"/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abSelected="1" topLeftCell="B1" workbookViewId="0">
      <selection activeCell="D8" sqref="D8"/>
    </sheetView>
  </sheetViews>
  <sheetFormatPr defaultRowHeight="11.25" x14ac:dyDescent="0.2"/>
  <cols>
    <col min="1" max="1" width="9.140625" style="1"/>
    <col min="2" max="2" width="12.5703125" style="1" bestFit="1" customWidth="1"/>
    <col min="3" max="3" width="23" style="2" bestFit="1" customWidth="1"/>
    <col min="4" max="5" width="9.140625" style="2"/>
    <col min="6" max="6" width="9.140625" style="1"/>
    <col min="7" max="7" width="9.140625" style="2"/>
    <col min="8" max="11" width="9.140625" style="1"/>
    <col min="12" max="12" width="9.140625" style="2"/>
    <col min="13" max="13" width="28.7109375" style="2" bestFit="1" customWidth="1"/>
    <col min="14" max="14" width="9.140625" style="3"/>
    <col min="15" max="15" width="9.140625" style="2"/>
    <col min="16" max="16384" width="9.140625" style="1"/>
  </cols>
  <sheetData>
    <row r="1" spans="2:15" ht="12" thickBot="1" x14ac:dyDescent="0.25"/>
    <row r="2" spans="2:15" ht="12" thickBot="1" x14ac:dyDescent="0.25">
      <c r="B2" s="23" t="s">
        <v>0</v>
      </c>
      <c r="C2" s="24"/>
      <c r="D2" s="24"/>
      <c r="E2" s="24"/>
      <c r="F2" s="25"/>
    </row>
    <row r="4" spans="2:15" x14ac:dyDescent="0.2">
      <c r="B4" s="18" t="s">
        <v>1</v>
      </c>
      <c r="C4" s="19"/>
      <c r="D4" s="14"/>
      <c r="E4" s="14"/>
      <c r="F4" s="16"/>
      <c r="G4" s="17"/>
      <c r="H4" s="16"/>
      <c r="L4" s="22" t="s">
        <v>28</v>
      </c>
      <c r="M4" s="14"/>
      <c r="N4" s="5"/>
      <c r="O4" s="14"/>
    </row>
    <row r="5" spans="2:15" x14ac:dyDescent="0.2">
      <c r="B5" s="1">
        <v>1</v>
      </c>
      <c r="C5" s="2" t="s">
        <v>2</v>
      </c>
      <c r="D5" s="8">
        <v>30</v>
      </c>
      <c r="E5" s="2" t="s">
        <v>3</v>
      </c>
      <c r="F5" s="16"/>
      <c r="G5" s="17"/>
      <c r="H5" s="16"/>
      <c r="M5" s="2" t="s">
        <v>32</v>
      </c>
      <c r="N5" s="7">
        <f>IF(D8&gt;23,5-0.075*(D8-23),IF(D8&gt;-21,5,IF(D8&gt;-71,5+0.1*(D8+21),0)))</f>
        <v>4.2874999999999996</v>
      </c>
      <c r="O5" s="2" t="s">
        <v>8</v>
      </c>
    </row>
    <row r="6" spans="2:15" x14ac:dyDescent="0.2">
      <c r="B6" s="1">
        <v>2</v>
      </c>
      <c r="C6" s="2" t="s">
        <v>4</v>
      </c>
      <c r="D6" s="8" t="s">
        <v>24</v>
      </c>
      <c r="F6" s="16"/>
      <c r="G6" s="17"/>
      <c r="H6" s="16"/>
      <c r="N6" s="6"/>
    </row>
    <row r="7" spans="2:15" x14ac:dyDescent="0.2">
      <c r="B7" s="1">
        <v>3</v>
      </c>
      <c r="C7" s="2" t="s">
        <v>5</v>
      </c>
      <c r="D7" s="8">
        <v>0.2</v>
      </c>
      <c r="E7" s="2" t="s">
        <v>8</v>
      </c>
      <c r="F7" s="16"/>
      <c r="G7" s="17"/>
      <c r="H7" s="16"/>
      <c r="L7" s="22" t="s">
        <v>30</v>
      </c>
      <c r="M7" s="14"/>
      <c r="N7" s="5"/>
      <c r="O7" s="14"/>
    </row>
    <row r="8" spans="2:15" x14ac:dyDescent="0.2">
      <c r="B8" s="1">
        <v>4</v>
      </c>
      <c r="C8" s="2" t="s">
        <v>6</v>
      </c>
      <c r="D8" s="8">
        <v>32.5</v>
      </c>
      <c r="E8" s="2" t="s">
        <v>9</v>
      </c>
      <c r="F8" s="16"/>
      <c r="G8" s="17"/>
      <c r="H8" s="16"/>
      <c r="M8" s="2" t="s">
        <v>31</v>
      </c>
      <c r="N8" s="7">
        <f>IF(D9&gt;=5,(N5-D7)/SIN(D9/180*PI()),2*(N5-D7)/(SQRT(SIN(D9/180*PI())^2+2*(N5-D7)/D10)+SIN(D9/180*PI())))</f>
        <v>7.1263387771012381</v>
      </c>
      <c r="O8" s="2" t="s">
        <v>8</v>
      </c>
    </row>
    <row r="9" spans="2:15" x14ac:dyDescent="0.2">
      <c r="B9" s="1">
        <v>5</v>
      </c>
      <c r="C9" s="2" t="s">
        <v>29</v>
      </c>
      <c r="D9" s="8">
        <v>35</v>
      </c>
      <c r="E9" s="2" t="s">
        <v>9</v>
      </c>
      <c r="F9" s="16"/>
      <c r="G9" s="17"/>
      <c r="H9" s="16"/>
      <c r="N9" s="6"/>
    </row>
    <row r="10" spans="2:15" x14ac:dyDescent="0.2">
      <c r="B10" s="1">
        <v>6</v>
      </c>
      <c r="C10" s="2" t="s">
        <v>7</v>
      </c>
      <c r="D10" s="8">
        <v>8500</v>
      </c>
      <c r="E10" s="2" t="s">
        <v>8</v>
      </c>
      <c r="F10" s="16"/>
      <c r="G10" s="17"/>
      <c r="H10" s="16"/>
      <c r="L10" s="22" t="s">
        <v>33</v>
      </c>
      <c r="M10" s="14"/>
      <c r="N10" s="5"/>
      <c r="O10" s="14"/>
    </row>
    <row r="11" spans="2:15" x14ac:dyDescent="0.2">
      <c r="B11" s="1">
        <v>7</v>
      </c>
      <c r="C11" s="2" t="s">
        <v>39</v>
      </c>
      <c r="D11" s="8">
        <v>2</v>
      </c>
      <c r="E11" s="2" t="s">
        <v>51</v>
      </c>
      <c r="F11" s="16"/>
      <c r="G11" s="17"/>
      <c r="H11" s="16"/>
      <c r="M11" s="2" t="s">
        <v>34</v>
      </c>
      <c r="N11" s="7">
        <f>N8*COS(D9/180*PI())</f>
        <v>5.8375549775583933</v>
      </c>
      <c r="O11" s="2" t="s">
        <v>8</v>
      </c>
    </row>
    <row r="12" spans="2:15" x14ac:dyDescent="0.2">
      <c r="B12" s="1">
        <v>8</v>
      </c>
      <c r="C12" s="2" t="s">
        <v>49</v>
      </c>
      <c r="D12" s="8">
        <v>10</v>
      </c>
      <c r="E12" s="2" t="s">
        <v>50</v>
      </c>
      <c r="F12" s="17">
        <f>D12/100*365*24</f>
        <v>876</v>
      </c>
      <c r="G12" s="17" t="s">
        <v>69</v>
      </c>
      <c r="H12" s="16"/>
      <c r="N12" s="6"/>
    </row>
    <row r="13" spans="2:15" x14ac:dyDescent="0.2">
      <c r="L13" s="22" t="s">
        <v>35</v>
      </c>
      <c r="M13" s="14"/>
      <c r="N13" s="5"/>
      <c r="O13" s="14"/>
    </row>
    <row r="14" spans="2:15" x14ac:dyDescent="0.2">
      <c r="M14" s="2" t="s">
        <v>11</v>
      </c>
      <c r="N14" s="7">
        <f>VLOOKUP(D6,B16:C30,2)</f>
        <v>95</v>
      </c>
      <c r="O14" s="2" t="s">
        <v>27</v>
      </c>
    </row>
    <row r="15" spans="2:15" x14ac:dyDescent="0.2">
      <c r="B15" s="9" t="s">
        <v>10</v>
      </c>
      <c r="C15" s="10" t="s">
        <v>11</v>
      </c>
      <c r="E15" s="9" t="s">
        <v>40</v>
      </c>
      <c r="F15" s="11" t="s">
        <v>41</v>
      </c>
      <c r="G15" s="11" t="s">
        <v>44</v>
      </c>
      <c r="H15" s="11" t="s">
        <v>42</v>
      </c>
      <c r="I15" s="10" t="s">
        <v>43</v>
      </c>
      <c r="N15" s="6"/>
    </row>
    <row r="16" spans="2:15" x14ac:dyDescent="0.2">
      <c r="B16" s="2" t="s">
        <v>12</v>
      </c>
      <c r="C16" s="2">
        <v>8</v>
      </c>
      <c r="E16" s="2">
        <v>4</v>
      </c>
      <c r="F16" s="2">
        <v>6.4999999999999997E-4</v>
      </c>
      <c r="G16" s="2">
        <v>5.9100000000000005E-4</v>
      </c>
      <c r="H16" s="2">
        <v>1.121</v>
      </c>
      <c r="I16" s="2">
        <v>1.075</v>
      </c>
      <c r="L16" s="22" t="s">
        <v>36</v>
      </c>
      <c r="M16" s="14"/>
      <c r="N16" s="5"/>
      <c r="O16" s="14"/>
    </row>
    <row r="17" spans="2:15" x14ac:dyDescent="0.2">
      <c r="B17" s="2" t="s">
        <v>13</v>
      </c>
      <c r="C17" s="2">
        <v>12</v>
      </c>
      <c r="E17" s="2">
        <v>6</v>
      </c>
      <c r="F17" s="2">
        <v>1.75E-3</v>
      </c>
      <c r="G17" s="2">
        <v>1.5499999999999999E-3</v>
      </c>
      <c r="H17" s="2">
        <v>1.3080000000000001</v>
      </c>
      <c r="I17" s="2">
        <v>1.2649999999999999</v>
      </c>
      <c r="M17" s="2" t="s">
        <v>37</v>
      </c>
      <c r="N17" s="12">
        <f>VLOOKUP(D5,E16:I35,D11+1,TRUE)</f>
        <v>0.16700000000000001</v>
      </c>
    </row>
    <row r="18" spans="2:15" x14ac:dyDescent="0.2">
      <c r="B18" s="2" t="s">
        <v>14</v>
      </c>
      <c r="C18" s="2">
        <v>15</v>
      </c>
      <c r="E18" s="2">
        <v>8</v>
      </c>
      <c r="F18" s="2">
        <v>4.5399999999999998E-3</v>
      </c>
      <c r="G18" s="2">
        <v>3.9500000000000004E-3</v>
      </c>
      <c r="H18" s="2">
        <v>1.327</v>
      </c>
      <c r="I18" s="2">
        <v>1.31</v>
      </c>
      <c r="M18" s="2" t="s">
        <v>38</v>
      </c>
      <c r="N18" s="12">
        <f>VLOOKUP(D5,E16:I35,D11+3,TRUE)</f>
        <v>1</v>
      </c>
    </row>
    <row r="19" spans="2:15" x14ac:dyDescent="0.2">
      <c r="B19" s="2" t="s">
        <v>15</v>
      </c>
      <c r="C19" s="2">
        <v>19</v>
      </c>
      <c r="E19" s="2">
        <v>10</v>
      </c>
      <c r="F19" s="2">
        <v>1.01E-2</v>
      </c>
      <c r="G19" s="2">
        <v>8.8699999999999994E-3</v>
      </c>
      <c r="H19" s="2">
        <v>1.276</v>
      </c>
      <c r="I19" s="2">
        <v>1.264</v>
      </c>
      <c r="M19" s="2" t="s">
        <v>46</v>
      </c>
      <c r="N19" s="12">
        <f>N17*(N14)^N18</f>
        <v>15.865</v>
      </c>
      <c r="O19" s="2" t="s">
        <v>45</v>
      </c>
    </row>
    <row r="20" spans="2:15" x14ac:dyDescent="0.2">
      <c r="B20" s="2" t="s">
        <v>16</v>
      </c>
      <c r="C20" s="2">
        <v>22</v>
      </c>
      <c r="E20" s="2">
        <v>12</v>
      </c>
      <c r="F20" s="2">
        <v>1.8800000000000001E-2</v>
      </c>
      <c r="G20" s="2">
        <v>1.67E-2</v>
      </c>
      <c r="H20" s="2">
        <v>1.2170000000000001</v>
      </c>
      <c r="I20" s="2">
        <v>1.2</v>
      </c>
    </row>
    <row r="21" spans="2:15" x14ac:dyDescent="0.2">
      <c r="B21" s="2" t="s">
        <v>17</v>
      </c>
      <c r="C21" s="2">
        <v>28</v>
      </c>
      <c r="E21" s="2">
        <v>14</v>
      </c>
      <c r="F21" s="15">
        <f>(F$24-F$20)/(E$24-E$20)*(E21-E$20)+F$20</f>
        <v>3.2875000000000001E-2</v>
      </c>
      <c r="G21" s="15">
        <f t="shared" ref="G21:I21" si="0">(G$24-G$20)/(F$24-F$20)*(F21-F$20)+G$20</f>
        <v>2.98E-2</v>
      </c>
      <c r="H21" s="15">
        <f t="shared" si="0"/>
        <v>1.1875</v>
      </c>
      <c r="I21" s="15">
        <f t="shared" si="0"/>
        <v>1.1662499999999998</v>
      </c>
      <c r="L21" s="22" t="s">
        <v>47</v>
      </c>
      <c r="M21" s="14"/>
      <c r="N21" s="13"/>
      <c r="O21" s="14"/>
    </row>
    <row r="22" spans="2:15" x14ac:dyDescent="0.2">
      <c r="B22" s="2" t="s">
        <v>18</v>
      </c>
      <c r="C22" s="2">
        <v>30</v>
      </c>
      <c r="E22" s="2">
        <v>16</v>
      </c>
      <c r="F22" s="15">
        <f t="shared" ref="F22:I23" si="1">(F$24-F$20)/(E$24-E$20)*(E22-E$20)+F$20</f>
        <v>4.6950000000000006E-2</v>
      </c>
      <c r="G22" s="15">
        <f t="shared" si="1"/>
        <v>4.2900000000000001E-2</v>
      </c>
      <c r="H22" s="15">
        <f t="shared" si="1"/>
        <v>1.1579999999999999</v>
      </c>
      <c r="I22" s="15">
        <f t="shared" si="1"/>
        <v>1.1324999999999998</v>
      </c>
      <c r="M22" s="2" t="s">
        <v>56</v>
      </c>
      <c r="N22" s="7">
        <f>1/(1+0.78*SQRT(N11*N19/D5)-0.38*(1-EXP(-2*N11)))</f>
        <v>0.50239311352636695</v>
      </c>
    </row>
    <row r="23" spans="2:15" x14ac:dyDescent="0.2">
      <c r="B23" s="2" t="s">
        <v>19</v>
      </c>
      <c r="C23" s="2">
        <v>32</v>
      </c>
      <c r="E23" s="2">
        <v>18</v>
      </c>
      <c r="F23" s="15">
        <f t="shared" si="1"/>
        <v>6.1024999999999996E-2</v>
      </c>
      <c r="G23" s="15">
        <f t="shared" si="1"/>
        <v>5.5999999999999994E-2</v>
      </c>
      <c r="H23" s="15">
        <f t="shared" si="1"/>
        <v>1.1285000000000001</v>
      </c>
      <c r="I23" s="15">
        <f t="shared" si="1"/>
        <v>1.0987500000000001</v>
      </c>
    </row>
    <row r="24" spans="2:15" x14ac:dyDescent="0.2">
      <c r="B24" s="2" t="s">
        <v>20</v>
      </c>
      <c r="C24" s="2">
        <v>35</v>
      </c>
      <c r="E24" s="2">
        <v>20</v>
      </c>
      <c r="F24" s="2">
        <v>7.51E-2</v>
      </c>
      <c r="G24" s="2">
        <v>6.9099999999999995E-2</v>
      </c>
      <c r="H24" s="2">
        <v>1.099</v>
      </c>
      <c r="I24" s="2">
        <v>1.0649999999999999</v>
      </c>
      <c r="L24" s="22" t="s">
        <v>48</v>
      </c>
      <c r="M24" s="14"/>
      <c r="N24" s="13"/>
      <c r="O24" s="14"/>
    </row>
    <row r="25" spans="2:15" x14ac:dyDescent="0.2">
      <c r="B25" s="2" t="s">
        <v>21</v>
      </c>
      <c r="C25" s="2">
        <v>42</v>
      </c>
      <c r="E25" s="2">
        <v>22</v>
      </c>
      <c r="F25" s="15">
        <f>(F$29-F$24)/(E$29-E$24)*(E25-E$24)+F$24</f>
        <v>9.7479999999999997E-2</v>
      </c>
      <c r="G25" s="15">
        <f t="shared" ref="G25:I25" si="2">(G$29-G$24)/(F$29-F$24)*(F25-F$24)+G$24</f>
        <v>8.8679999999999995E-2</v>
      </c>
      <c r="H25" s="15">
        <f t="shared" si="2"/>
        <v>1.0833999999999999</v>
      </c>
      <c r="I25" s="15">
        <f t="shared" si="2"/>
        <v>1.0519999999999998</v>
      </c>
      <c r="M25" s="2" t="s">
        <v>52</v>
      </c>
      <c r="N25" s="7">
        <f>ATAN((N5-D7)/(N11*N22))*180/PI()</f>
        <v>54.340873447408526</v>
      </c>
      <c r="O25" s="2" t="s">
        <v>55</v>
      </c>
    </row>
    <row r="26" spans="2:15" x14ac:dyDescent="0.2">
      <c r="B26" s="2" t="s">
        <v>22</v>
      </c>
      <c r="C26" s="2">
        <v>60</v>
      </c>
      <c r="E26" s="2">
        <v>24</v>
      </c>
      <c r="F26" s="15">
        <f t="shared" ref="F26:I26" si="3">(F$29-F$24)/(E$29-E$24)*(E26-E$24)+F$24</f>
        <v>0.11985999999999999</v>
      </c>
      <c r="G26" s="15">
        <f t="shared" si="3"/>
        <v>0.10826</v>
      </c>
      <c r="H26" s="15">
        <f t="shared" si="3"/>
        <v>1.0677999999999999</v>
      </c>
      <c r="I26" s="15">
        <f t="shared" si="3"/>
        <v>1.0389999999999999</v>
      </c>
      <c r="M26" s="2" t="s">
        <v>53</v>
      </c>
      <c r="N26" s="7">
        <f>IF(N25&gt;D9,N11*N22/COS(D9/180*PI()),(N5-D7)/SIN(D9/180*PI()))</f>
        <v>3.5802235262715731</v>
      </c>
      <c r="O26" s="2" t="s">
        <v>8</v>
      </c>
    </row>
    <row r="27" spans="2:15" x14ac:dyDescent="0.2">
      <c r="B27" s="2" t="s">
        <v>23</v>
      </c>
      <c r="C27" s="2">
        <v>63</v>
      </c>
      <c r="E27" s="2">
        <v>26</v>
      </c>
      <c r="F27" s="15">
        <f t="shared" ref="F27:I27" si="4">(F$29-F$24)/(E$29-E$24)*(E27-E$24)+F$24</f>
        <v>0.14224000000000001</v>
      </c>
      <c r="G27" s="15">
        <f t="shared" si="4"/>
        <v>0.12784000000000001</v>
      </c>
      <c r="H27" s="15">
        <f t="shared" si="4"/>
        <v>1.0522</v>
      </c>
      <c r="I27" s="15">
        <f t="shared" si="4"/>
        <v>1.026</v>
      </c>
      <c r="M27" s="2" t="s">
        <v>54</v>
      </c>
      <c r="N27" s="7">
        <f>IF(ABS(D8)&lt;36,36-ABS(D8),0)</f>
        <v>3.5</v>
      </c>
      <c r="O27" s="2" t="s">
        <v>55</v>
      </c>
    </row>
    <row r="28" spans="2:15" x14ac:dyDescent="0.2">
      <c r="B28" s="2" t="s">
        <v>24</v>
      </c>
      <c r="C28" s="2">
        <v>95</v>
      </c>
      <c r="E28" s="2">
        <v>28</v>
      </c>
      <c r="F28" s="15">
        <f t="shared" ref="F28:I28" si="5">(F$29-F$24)/(E$29-E$24)*(E28-E$24)+F$24</f>
        <v>0.16461999999999999</v>
      </c>
      <c r="G28" s="15">
        <f t="shared" si="5"/>
        <v>0.14742</v>
      </c>
      <c r="H28" s="15">
        <f t="shared" si="5"/>
        <v>1.0366</v>
      </c>
      <c r="I28" s="15">
        <f t="shared" si="5"/>
        <v>1.0130000000000001</v>
      </c>
      <c r="M28" s="2" t="s">
        <v>57</v>
      </c>
      <c r="N28" s="7">
        <f>1/(1+SQRT(SIN(D9/180*PI()))*(31*(1-EXP(-D9/(1+N27)))*SQRT(N26*N19)/D5^2-0.45))</f>
        <v>1.1686150011149232</v>
      </c>
    </row>
    <row r="29" spans="2:15" x14ac:dyDescent="0.2">
      <c r="B29" s="2" t="s">
        <v>25</v>
      </c>
      <c r="C29" s="2">
        <v>145</v>
      </c>
      <c r="E29" s="2">
        <v>30</v>
      </c>
      <c r="F29" s="2">
        <v>0.187</v>
      </c>
      <c r="G29" s="2">
        <v>0.16700000000000001</v>
      </c>
      <c r="H29" s="2">
        <v>1.0209999999999999</v>
      </c>
      <c r="I29" s="2">
        <v>1</v>
      </c>
    </row>
    <row r="30" spans="2:15" x14ac:dyDescent="0.2">
      <c r="B30" s="2" t="s">
        <v>26</v>
      </c>
      <c r="C30" s="2">
        <v>115</v>
      </c>
      <c r="E30" s="2">
        <v>32</v>
      </c>
      <c r="F30" s="15">
        <f>(F$34-F$29)/(E$34-E$29)*(E30-E$29)+F$29</f>
        <v>0.21959999999999999</v>
      </c>
      <c r="G30" s="15">
        <f t="shared" ref="G30:I30" si="6">(G$34-G$29)/(F$34-F$29)*(F30-F$29)+G$29</f>
        <v>0.1956</v>
      </c>
      <c r="H30" s="15">
        <f t="shared" si="6"/>
        <v>1.0045999999999999</v>
      </c>
      <c r="I30" s="15">
        <f t="shared" si="6"/>
        <v>0.98580000000000001</v>
      </c>
      <c r="L30" s="22" t="s">
        <v>58</v>
      </c>
      <c r="M30" s="14"/>
      <c r="N30" s="13"/>
      <c r="O30" s="14"/>
    </row>
    <row r="31" spans="2:15" x14ac:dyDescent="0.2">
      <c r="E31" s="2">
        <v>34</v>
      </c>
      <c r="F31" s="15">
        <f t="shared" ref="F31:I31" si="7">(F$34-F$29)/(E$34-E$29)*(E31-E$29)+F$29</f>
        <v>0.25219999999999998</v>
      </c>
      <c r="G31" s="15">
        <f t="shared" si="7"/>
        <v>0.22420000000000001</v>
      </c>
      <c r="H31" s="15">
        <f t="shared" si="7"/>
        <v>0.98819999999999997</v>
      </c>
      <c r="I31" s="15">
        <f t="shared" si="7"/>
        <v>0.97160000000000002</v>
      </c>
      <c r="M31" s="2" t="s">
        <v>59</v>
      </c>
      <c r="N31" s="7">
        <f>N26*N28</f>
        <v>4.1839029201455284</v>
      </c>
      <c r="O31" s="2" t="s">
        <v>8</v>
      </c>
    </row>
    <row r="32" spans="2:15" x14ac:dyDescent="0.2">
      <c r="E32" s="2">
        <v>36</v>
      </c>
      <c r="F32" s="15">
        <f t="shared" ref="F32:I32" si="8">(F$34-F$29)/(E$34-E$29)*(E32-E$29)+F$29</f>
        <v>0.2848</v>
      </c>
      <c r="G32" s="15">
        <f t="shared" si="8"/>
        <v>0.25280000000000002</v>
      </c>
      <c r="H32" s="15">
        <f t="shared" si="8"/>
        <v>0.97179999999999989</v>
      </c>
      <c r="I32" s="15">
        <f t="shared" si="8"/>
        <v>0.95740000000000003</v>
      </c>
    </row>
    <row r="33" spans="3:15" x14ac:dyDescent="0.2">
      <c r="E33" s="2">
        <v>38</v>
      </c>
      <c r="F33" s="15">
        <f t="shared" ref="F33:I33" si="9">(F$34-F$29)/(E$34-E$29)*(E33-E$29)+F$29</f>
        <v>0.31740000000000002</v>
      </c>
      <c r="G33" s="15">
        <f t="shared" si="9"/>
        <v>0.28140000000000004</v>
      </c>
      <c r="H33" s="15">
        <f t="shared" si="9"/>
        <v>0.95539999999999992</v>
      </c>
      <c r="I33" s="15">
        <f t="shared" si="9"/>
        <v>0.94320000000000004</v>
      </c>
      <c r="L33" s="22" t="s">
        <v>60</v>
      </c>
      <c r="M33" s="14"/>
      <c r="N33" s="13"/>
      <c r="O33" s="14"/>
    </row>
    <row r="34" spans="3:15" x14ac:dyDescent="0.2">
      <c r="E34" s="2">
        <v>40</v>
      </c>
      <c r="F34" s="2">
        <v>0.35</v>
      </c>
      <c r="G34" s="2">
        <v>0.31</v>
      </c>
      <c r="H34" s="2">
        <v>0.93899999999999995</v>
      </c>
      <c r="I34" s="2">
        <v>0.92900000000000005</v>
      </c>
      <c r="M34" s="2" t="s">
        <v>63</v>
      </c>
      <c r="N34" s="7">
        <f>N19*N31</f>
        <v>66.377619828108806</v>
      </c>
      <c r="O34" s="2" t="s">
        <v>61</v>
      </c>
    </row>
    <row r="35" spans="3:15" x14ac:dyDescent="0.2">
      <c r="E35" s="2">
        <v>50</v>
      </c>
      <c r="F35" s="2">
        <v>0.53600000000000003</v>
      </c>
      <c r="G35" s="2">
        <v>0.47899999999999998</v>
      </c>
      <c r="H35" s="2">
        <v>0.873</v>
      </c>
      <c r="I35" s="2">
        <v>0.86799999999999999</v>
      </c>
    </row>
    <row r="36" spans="3:15" x14ac:dyDescent="0.2">
      <c r="L36" s="22" t="s">
        <v>62</v>
      </c>
      <c r="M36" s="14"/>
      <c r="N36" s="13"/>
      <c r="O36" s="14"/>
    </row>
    <row r="37" spans="3:15" x14ac:dyDescent="0.2">
      <c r="M37" s="2" t="s">
        <v>64</v>
      </c>
      <c r="N37" s="7">
        <f>IF(OR(D12&gt;=1,ABS(D8)&gt;=36),0,IF(AND(D12&lt;1,ABS(D8)&lt;36,D9&gt;=25),-0.005*(ABS(D8)-36),-0.005*(ABS(D8)-36)+1.8-4.25*SIN(D9/180*PI())))</f>
        <v>0</v>
      </c>
    </row>
    <row r="38" spans="3:15" x14ac:dyDescent="0.2">
      <c r="C38" s="21" t="s">
        <v>79</v>
      </c>
      <c r="D38" s="14"/>
      <c r="E38" s="14"/>
      <c r="F38" s="4"/>
      <c r="G38" s="14"/>
      <c r="H38" s="4"/>
      <c r="I38" s="4"/>
      <c r="M38" s="2" t="s">
        <v>65</v>
      </c>
      <c r="N38" s="7">
        <f>N34*(D12/0.01)^(-(0.655+0.033*LN(D12)-0.045*LN(N34)-N37*(1-D12)*SIN(D9/180*PI())))</f>
        <v>1.5683368407319109</v>
      </c>
      <c r="O38" s="2" t="s">
        <v>61</v>
      </c>
    </row>
    <row r="40" spans="3:15" x14ac:dyDescent="0.2">
      <c r="C40" s="2" t="s">
        <v>70</v>
      </c>
      <c r="D40" s="20">
        <v>6</v>
      </c>
      <c r="E40" s="2" t="s">
        <v>61</v>
      </c>
      <c r="F40" s="7">
        <f>10^(D40/10)</f>
        <v>3.9810717055349727</v>
      </c>
      <c r="G40" s="2" t="s">
        <v>72</v>
      </c>
    </row>
    <row r="41" spans="3:15" x14ac:dyDescent="0.2">
      <c r="C41" s="2" t="s">
        <v>71</v>
      </c>
      <c r="D41" s="7">
        <f>N38</f>
        <v>1.5683368407319109</v>
      </c>
      <c r="E41" s="2" t="s">
        <v>61</v>
      </c>
      <c r="F41" s="7">
        <f>10^(D41/10)</f>
        <v>1.4349398084864813</v>
      </c>
      <c r="G41" s="2" t="s">
        <v>72</v>
      </c>
    </row>
    <row r="42" spans="3:15" x14ac:dyDescent="0.2">
      <c r="C42" s="2" t="s">
        <v>73</v>
      </c>
      <c r="D42" s="7">
        <f>LOG(1+F40/F41)/LOG(2)</f>
        <v>1.9162405846267865</v>
      </c>
      <c r="E42" s="2" t="s">
        <v>74</v>
      </c>
    </row>
    <row r="44" spans="3:15" x14ac:dyDescent="0.2">
      <c r="D44" s="2" t="s">
        <v>75</v>
      </c>
      <c r="G44" s="1" t="s">
        <v>77</v>
      </c>
    </row>
    <row r="45" spans="3:15" x14ac:dyDescent="0.2">
      <c r="D45" s="20">
        <v>36</v>
      </c>
      <c r="E45" s="2" t="s">
        <v>76</v>
      </c>
      <c r="G45" s="7">
        <f>D45*$D$42</f>
        <v>68.984661046564312</v>
      </c>
      <c r="H45" s="2" t="s">
        <v>78</v>
      </c>
    </row>
    <row r="46" spans="3:15" x14ac:dyDescent="0.2">
      <c r="D46" s="20">
        <v>54</v>
      </c>
      <c r="E46" s="2" t="s">
        <v>76</v>
      </c>
      <c r="G46" s="7">
        <f>D46*$D$42</f>
        <v>103.47699156984648</v>
      </c>
      <c r="H46" s="2" t="s">
        <v>78</v>
      </c>
    </row>
    <row r="47" spans="3:15" x14ac:dyDescent="0.2">
      <c r="D47" s="20">
        <v>72</v>
      </c>
      <c r="E47" s="2" t="s">
        <v>76</v>
      </c>
      <c r="G47" s="7">
        <f>D47*$D$42</f>
        <v>137.96932209312862</v>
      </c>
      <c r="H47" s="2" t="s">
        <v>78</v>
      </c>
    </row>
  </sheetData>
  <mergeCells count="1">
    <mergeCell ref="B2:F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"/>
  <sheetViews>
    <sheetView workbookViewId="0">
      <selection activeCell="D13" sqref="D13"/>
    </sheetView>
  </sheetViews>
  <sheetFormatPr defaultRowHeight="15" x14ac:dyDescent="0.25"/>
  <sheetData>
    <row r="2" spans="2:16" x14ac:dyDescent="0.25">
      <c r="C2" t="s">
        <v>66</v>
      </c>
      <c r="D2" t="s">
        <v>13</v>
      </c>
      <c r="E2" t="s">
        <v>67</v>
      </c>
      <c r="F2" t="s">
        <v>68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25</v>
      </c>
      <c r="P2" t="s">
        <v>26</v>
      </c>
    </row>
    <row r="3" spans="2:16" x14ac:dyDescent="0.25">
      <c r="B3">
        <v>5</v>
      </c>
    </row>
    <row r="4" spans="2:16" x14ac:dyDescent="0.25">
      <c r="B4">
        <v>4</v>
      </c>
    </row>
    <row r="5" spans="2:16" x14ac:dyDescent="0.25">
      <c r="B5">
        <v>3</v>
      </c>
    </row>
    <row r="6" spans="2:16" x14ac:dyDescent="0.25">
      <c r="B6">
        <v>2</v>
      </c>
    </row>
    <row r="7" spans="2:16" x14ac:dyDescent="0.25">
      <c r="B7">
        <v>1</v>
      </c>
    </row>
    <row r="8" spans="2:16" x14ac:dyDescent="0.25">
      <c r="B8">
        <v>0.1</v>
      </c>
    </row>
    <row r="9" spans="2:16" x14ac:dyDescent="0.25">
      <c r="B9">
        <v>0.01</v>
      </c>
    </row>
    <row r="10" spans="2:16" x14ac:dyDescent="0.25">
      <c r="B10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Ivica</dc:creator>
  <cp:lastModifiedBy>Ivica  Kostanic</cp:lastModifiedBy>
  <dcterms:created xsi:type="dcterms:W3CDTF">2013-12-07T04:07:34Z</dcterms:created>
  <dcterms:modified xsi:type="dcterms:W3CDTF">2014-03-20T20:56:25Z</dcterms:modified>
</cp:coreProperties>
</file>