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DSE\Bigger_is_Better\"/>
    </mc:Choice>
  </mc:AlternateContent>
  <xr:revisionPtr revIDLastSave="0" documentId="13_ncr:1_{212233A5-7504-417D-83FE-5EFDE8C42838}" xr6:coauthVersionLast="43" xr6:coauthVersionMax="43" xr10:uidLastSave="{00000000-0000-0000-0000-000000000000}"/>
  <bookViews>
    <workbookView xWindow="-110" yWindow="-110" windowWidth="19420" windowHeight="10420" activeTab="3" xr2:uid="{EE3265AF-2B1E-4F7B-B58D-C01DF63E7154}"/>
  </bookViews>
  <sheets>
    <sheet name="Blad2" sheetId="2" r:id="rId1"/>
    <sheet name="Blad1" sheetId="1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" l="1"/>
  <c r="J20" i="2" s="1"/>
  <c r="N20" i="2"/>
  <c r="J21" i="2"/>
  <c r="J19" i="2"/>
  <c r="J18" i="2"/>
  <c r="J17" i="2"/>
  <c r="J16" i="2"/>
  <c r="B41" i="4" l="1"/>
  <c r="B39" i="4"/>
  <c r="B37" i="4"/>
  <c r="B35" i="4"/>
  <c r="K32" i="3" l="1"/>
  <c r="K30" i="3"/>
  <c r="J19" i="3"/>
  <c r="I19" i="3"/>
  <c r="R14" i="3"/>
  <c r="R11" i="3"/>
  <c r="R5" i="3"/>
  <c r="R6" i="3"/>
  <c r="R7" i="3"/>
  <c r="R8" i="3"/>
  <c r="R9" i="3"/>
  <c r="R4" i="3"/>
  <c r="K11" i="3"/>
  <c r="L14" i="3"/>
  <c r="M14" i="3" s="1"/>
  <c r="M10" i="3"/>
  <c r="M11" i="3"/>
  <c r="M12" i="3"/>
  <c r="M13" i="3"/>
  <c r="C12" i="3"/>
  <c r="C11" i="3"/>
  <c r="C9" i="3"/>
  <c r="C8" i="3"/>
  <c r="C7" i="3"/>
  <c r="C6" i="3"/>
  <c r="C5" i="3"/>
  <c r="M6" i="3"/>
  <c r="M7" i="3"/>
  <c r="M8" i="3"/>
  <c r="M9" i="3"/>
  <c r="M5" i="3"/>
  <c r="G6" i="3"/>
  <c r="G7" i="3"/>
  <c r="G8" i="3"/>
  <c r="G9" i="3"/>
  <c r="G5" i="3"/>
  <c r="E6" i="3"/>
  <c r="E7" i="3"/>
  <c r="E8" i="3"/>
  <c r="E9" i="3"/>
  <c r="E5" i="3"/>
  <c r="P6" i="3"/>
  <c r="P7" i="3"/>
  <c r="P8" i="3"/>
  <c r="P9" i="3"/>
  <c r="P5" i="3"/>
  <c r="K6" i="3"/>
  <c r="K9" i="3"/>
  <c r="I8" i="3"/>
  <c r="I5" i="3"/>
  <c r="H9" i="3"/>
  <c r="J8" i="3"/>
  <c r="N7" i="3"/>
  <c r="J7" i="3"/>
  <c r="K7" i="3" s="1"/>
  <c r="D9" i="3"/>
  <c r="B9" i="3"/>
  <c r="D8" i="3"/>
  <c r="F7" i="3"/>
  <c r="D6" i="3"/>
  <c r="B6" i="3"/>
  <c r="B7" i="3" s="1"/>
  <c r="F5" i="3"/>
  <c r="F6" i="3" s="1"/>
  <c r="F8" i="3" s="1"/>
  <c r="F9" i="3" s="1"/>
  <c r="D5" i="3"/>
  <c r="B5" i="3"/>
  <c r="O17" i="2"/>
  <c r="O18" i="2"/>
  <c r="O19" i="2"/>
  <c r="O20" i="2"/>
  <c r="O21" i="2"/>
  <c r="O16" i="2"/>
  <c r="H6" i="2"/>
  <c r="H7" i="2"/>
  <c r="H8" i="2"/>
  <c r="H9" i="2"/>
  <c r="H10" i="2"/>
  <c r="F7" i="2"/>
  <c r="F6" i="2"/>
  <c r="F5" i="2"/>
  <c r="H5" i="2"/>
  <c r="N17" i="2"/>
  <c r="N18" i="2"/>
  <c r="N19" i="2"/>
  <c r="N21" i="2"/>
  <c r="N16" i="2"/>
  <c r="L17" i="2"/>
  <c r="L18" i="2"/>
  <c r="L19" i="2"/>
  <c r="L21" i="2"/>
  <c r="L16" i="2"/>
  <c r="J6" i="2"/>
  <c r="J7" i="2"/>
  <c r="J8" i="2"/>
  <c r="J9" i="2"/>
  <c r="L20" i="2" s="1"/>
  <c r="J10" i="2"/>
  <c r="J5" i="2"/>
  <c r="I6" i="2"/>
  <c r="I7" i="2"/>
  <c r="I8" i="2"/>
  <c r="I10" i="2"/>
  <c r="I5" i="2"/>
  <c r="V6" i="2"/>
  <c r="V7" i="2"/>
  <c r="V8" i="2"/>
  <c r="V9" i="2"/>
  <c r="V10" i="2"/>
  <c r="V5" i="2"/>
  <c r="AO28" i="1"/>
  <c r="Y28" i="1"/>
  <c r="Y29" i="1"/>
  <c r="AA28" i="1" l="1"/>
  <c r="AA29" i="1"/>
  <c r="AA30" i="1"/>
  <c r="AA31" i="1"/>
  <c r="AA32" i="1"/>
  <c r="AA33" i="1"/>
  <c r="AA34" i="1"/>
  <c r="AA27" i="1"/>
  <c r="AQ29" i="1"/>
  <c r="AQ30" i="1"/>
  <c r="AQ27" i="1"/>
  <c r="AO30" i="1"/>
  <c r="AP30" i="1" s="1"/>
  <c r="AO27" i="1"/>
  <c r="AP32" i="1"/>
  <c r="AP34" i="1"/>
  <c r="AP27" i="1"/>
  <c r="AQ28" i="1"/>
  <c r="AQ40" i="1" s="1"/>
  <c r="AO29" i="1"/>
  <c r="AP29" i="1" s="1"/>
  <c r="AO31" i="1"/>
  <c r="AQ31" i="1" s="1"/>
  <c r="AO32" i="1"/>
  <c r="AQ32" i="1" s="1"/>
  <c r="AO33" i="1"/>
  <c r="AQ33" i="1" s="1"/>
  <c r="AO34" i="1"/>
  <c r="AQ34" i="1" s="1"/>
  <c r="Z29" i="1"/>
  <c r="Z30" i="1"/>
  <c r="Z34" i="1"/>
  <c r="Z27" i="1"/>
  <c r="Z28" i="1"/>
  <c r="Y30" i="1"/>
  <c r="Y31" i="1"/>
  <c r="Z31" i="1" s="1"/>
  <c r="Y32" i="1"/>
  <c r="Z32" i="1" s="1"/>
  <c r="Y33" i="1"/>
  <c r="Z33" i="1" s="1"/>
  <c r="Y34" i="1"/>
  <c r="Y27" i="1"/>
  <c r="L17" i="1"/>
  <c r="M17" i="1" s="1"/>
  <c r="K50" i="1"/>
  <c r="K49" i="1"/>
  <c r="L16" i="1" s="1"/>
  <c r="M16" i="1" s="1"/>
  <c r="J45" i="1"/>
  <c r="J44" i="1"/>
  <c r="J43" i="1"/>
  <c r="J42" i="1"/>
  <c r="J41" i="1"/>
  <c r="J40" i="1"/>
  <c r="J39" i="1"/>
  <c r="J38" i="1"/>
  <c r="J23" i="1"/>
  <c r="J22" i="1"/>
  <c r="J21" i="1"/>
  <c r="J20" i="1"/>
  <c r="J19" i="1"/>
  <c r="J18" i="1"/>
  <c r="J17" i="1"/>
  <c r="J16" i="1"/>
  <c r="X23" i="1"/>
  <c r="X22" i="1"/>
  <c r="X21" i="1"/>
  <c r="X20" i="1"/>
  <c r="X19" i="1"/>
  <c r="X18" i="1"/>
  <c r="X17" i="1"/>
  <c r="X16" i="1"/>
  <c r="X45" i="1"/>
  <c r="X44" i="1"/>
  <c r="X43" i="1"/>
  <c r="X42" i="1"/>
  <c r="X41" i="1"/>
  <c r="X40" i="1"/>
  <c r="X39" i="1"/>
  <c r="X38" i="1"/>
  <c r="X67" i="1"/>
  <c r="X66" i="1"/>
  <c r="X65" i="1"/>
  <c r="X64" i="1"/>
  <c r="X63" i="1"/>
  <c r="X62" i="1"/>
  <c r="X61" i="1"/>
  <c r="X60" i="1"/>
  <c r="X89" i="1"/>
  <c r="X88" i="1"/>
  <c r="X87" i="1"/>
  <c r="X86" i="1"/>
  <c r="X85" i="1"/>
  <c r="X84" i="1"/>
  <c r="X83" i="1"/>
  <c r="X82" i="1"/>
  <c r="AK21" i="1"/>
  <c r="AK43" i="1"/>
  <c r="AK65" i="1"/>
  <c r="H45" i="1"/>
  <c r="H44" i="1"/>
  <c r="H43" i="1"/>
  <c r="H42" i="1"/>
  <c r="H41" i="1"/>
  <c r="H40" i="1"/>
  <c r="H39" i="1"/>
  <c r="H38" i="1"/>
  <c r="K89" i="1"/>
  <c r="K88" i="1"/>
  <c r="K87" i="1"/>
  <c r="K86" i="1"/>
  <c r="K85" i="1"/>
  <c r="K84" i="1"/>
  <c r="K83" i="1"/>
  <c r="K82" i="1"/>
  <c r="K61" i="1"/>
  <c r="K62" i="1"/>
  <c r="K63" i="1"/>
  <c r="K64" i="1"/>
  <c r="K65" i="1"/>
  <c r="K66" i="1"/>
  <c r="K67" i="1"/>
  <c r="K60" i="1"/>
  <c r="V89" i="1"/>
  <c r="V88" i="1"/>
  <c r="V87" i="1"/>
  <c r="V86" i="1"/>
  <c r="V85" i="1"/>
  <c r="V84" i="1"/>
  <c r="V83" i="1"/>
  <c r="V82" i="1"/>
  <c r="V67" i="1"/>
  <c r="V66" i="1"/>
  <c r="V65" i="1"/>
  <c r="V64" i="1"/>
  <c r="V63" i="1"/>
  <c r="V62" i="1"/>
  <c r="V61" i="1"/>
  <c r="V60" i="1"/>
  <c r="V45" i="1"/>
  <c r="V44" i="1"/>
  <c r="V43" i="1"/>
  <c r="V42" i="1"/>
  <c r="V41" i="1"/>
  <c r="V40" i="1"/>
  <c r="V39" i="1"/>
  <c r="V38" i="1"/>
  <c r="V23" i="1"/>
  <c r="V22" i="1"/>
  <c r="V21" i="1"/>
  <c r="V20" i="1"/>
  <c r="V19" i="1"/>
  <c r="V18" i="1"/>
  <c r="V17" i="1"/>
  <c r="V16" i="1"/>
  <c r="AI22" i="1"/>
  <c r="AI43" i="1"/>
  <c r="AI65" i="1"/>
  <c r="AK84" i="1"/>
  <c r="AI85" i="1"/>
  <c r="H17" i="1"/>
  <c r="H18" i="1"/>
  <c r="H19" i="1"/>
  <c r="H20" i="1"/>
  <c r="H21" i="1"/>
  <c r="H22" i="1"/>
  <c r="H23" i="1"/>
  <c r="H16" i="1"/>
  <c r="AJ23" i="1"/>
  <c r="AK23" i="1" s="1"/>
  <c r="AH23" i="1"/>
  <c r="AI23" i="1" s="1"/>
  <c r="AF23" i="1"/>
  <c r="AJ22" i="1"/>
  <c r="AK22" i="1" s="1"/>
  <c r="AH22" i="1"/>
  <c r="AF22" i="1"/>
  <c r="AJ21" i="1"/>
  <c r="AH21" i="1"/>
  <c r="AI21" i="1" s="1"/>
  <c r="AF21" i="1"/>
  <c r="AJ20" i="1"/>
  <c r="AK20" i="1" s="1"/>
  <c r="AH20" i="1"/>
  <c r="AI20" i="1" s="1"/>
  <c r="AF20" i="1"/>
  <c r="AJ19" i="1"/>
  <c r="AK19" i="1" s="1"/>
  <c r="AH19" i="1"/>
  <c r="AI19" i="1" s="1"/>
  <c r="AF19" i="1"/>
  <c r="AJ18" i="1"/>
  <c r="AK18" i="1" s="1"/>
  <c r="AH18" i="1"/>
  <c r="AI18" i="1" s="1"/>
  <c r="AF18" i="1"/>
  <c r="AJ17" i="1"/>
  <c r="AK17" i="1" s="1"/>
  <c r="AH17" i="1"/>
  <c r="AI17" i="1" s="1"/>
  <c r="AF17" i="1"/>
  <c r="AJ16" i="1"/>
  <c r="AK16" i="1" s="1"/>
  <c r="AH16" i="1"/>
  <c r="AI16" i="1" s="1"/>
  <c r="AL12" i="1"/>
  <c r="AH12" i="1"/>
  <c r="AL11" i="1"/>
  <c r="AH11" i="1"/>
  <c r="AL10" i="1"/>
  <c r="AH10" i="1"/>
  <c r="AL9" i="1"/>
  <c r="AH9" i="1"/>
  <c r="AL8" i="1"/>
  <c r="AH8" i="1"/>
  <c r="AL7" i="1"/>
  <c r="AH7" i="1"/>
  <c r="AL6" i="1"/>
  <c r="AH6" i="1"/>
  <c r="AL5" i="1"/>
  <c r="AH5" i="1"/>
  <c r="AJ45" i="1"/>
  <c r="AK45" i="1" s="1"/>
  <c r="AH45" i="1"/>
  <c r="AI45" i="1" s="1"/>
  <c r="AF45" i="1"/>
  <c r="AJ44" i="1"/>
  <c r="AK44" i="1" s="1"/>
  <c r="AH44" i="1"/>
  <c r="AI44" i="1" s="1"/>
  <c r="AF44" i="1"/>
  <c r="AJ43" i="1"/>
  <c r="AH43" i="1"/>
  <c r="AF43" i="1"/>
  <c r="AJ42" i="1"/>
  <c r="AK42" i="1" s="1"/>
  <c r="AH42" i="1"/>
  <c r="AI42" i="1" s="1"/>
  <c r="AF42" i="1"/>
  <c r="AJ41" i="1"/>
  <c r="AK41" i="1" s="1"/>
  <c r="AH41" i="1"/>
  <c r="AI41" i="1" s="1"/>
  <c r="AF41" i="1"/>
  <c r="AJ40" i="1"/>
  <c r="AK40" i="1" s="1"/>
  <c r="AH40" i="1"/>
  <c r="AI40" i="1" s="1"/>
  <c r="AF40" i="1"/>
  <c r="AJ39" i="1"/>
  <c r="AK39" i="1" s="1"/>
  <c r="AH39" i="1"/>
  <c r="AI39" i="1" s="1"/>
  <c r="AF39" i="1"/>
  <c r="AJ38" i="1"/>
  <c r="AK38" i="1" s="1"/>
  <c r="AH38" i="1"/>
  <c r="AI38" i="1" s="1"/>
  <c r="AF38" i="1"/>
  <c r="AL34" i="1"/>
  <c r="AH34" i="1"/>
  <c r="AF34" i="1"/>
  <c r="AD34" i="1"/>
  <c r="AI34" i="1" s="1"/>
  <c r="AL33" i="1"/>
  <c r="AH33" i="1"/>
  <c r="AF33" i="1"/>
  <c r="AD33" i="1"/>
  <c r="AL32" i="1"/>
  <c r="AH32" i="1"/>
  <c r="AF32" i="1"/>
  <c r="AD32" i="1"/>
  <c r="AL31" i="1"/>
  <c r="AH31" i="1"/>
  <c r="AI31" i="1" s="1"/>
  <c r="AF31" i="1"/>
  <c r="AD31" i="1"/>
  <c r="AL30" i="1"/>
  <c r="AH30" i="1"/>
  <c r="AI30" i="1" s="1"/>
  <c r="AF30" i="1"/>
  <c r="AD30" i="1"/>
  <c r="AL29" i="1"/>
  <c r="AH29" i="1"/>
  <c r="AI29" i="1" s="1"/>
  <c r="AF29" i="1"/>
  <c r="AD29" i="1"/>
  <c r="AL28" i="1"/>
  <c r="AH28" i="1"/>
  <c r="AI28" i="1" s="1"/>
  <c r="AF28" i="1"/>
  <c r="AD28" i="1"/>
  <c r="AL27" i="1"/>
  <c r="AH27" i="1"/>
  <c r="AI27" i="1" s="1"/>
  <c r="AF27" i="1"/>
  <c r="AD27" i="1"/>
  <c r="AJ67" i="1"/>
  <c r="AK67" i="1" s="1"/>
  <c r="AH67" i="1"/>
  <c r="AI67" i="1" s="1"/>
  <c r="AF67" i="1"/>
  <c r="AJ66" i="1"/>
  <c r="AK66" i="1" s="1"/>
  <c r="AH66" i="1"/>
  <c r="AI66" i="1" s="1"/>
  <c r="AF66" i="1"/>
  <c r="AJ65" i="1"/>
  <c r="AH65" i="1"/>
  <c r="AF65" i="1"/>
  <c r="AJ64" i="1"/>
  <c r="AK64" i="1" s="1"/>
  <c r="AH64" i="1"/>
  <c r="AI64" i="1" s="1"/>
  <c r="AF64" i="1"/>
  <c r="AJ63" i="1"/>
  <c r="AK63" i="1" s="1"/>
  <c r="AH63" i="1"/>
  <c r="AI63" i="1" s="1"/>
  <c r="AF63" i="1"/>
  <c r="AJ62" i="1"/>
  <c r="AK62" i="1" s="1"/>
  <c r="AH62" i="1"/>
  <c r="AI62" i="1" s="1"/>
  <c r="AF62" i="1"/>
  <c r="AJ61" i="1"/>
  <c r="AK61" i="1" s="1"/>
  <c r="AH61" i="1"/>
  <c r="AI61" i="1" s="1"/>
  <c r="AF61" i="1"/>
  <c r="AJ60" i="1"/>
  <c r="AK60" i="1" s="1"/>
  <c r="AH60" i="1"/>
  <c r="AI60" i="1" s="1"/>
  <c r="AF60" i="1"/>
  <c r="AL56" i="1"/>
  <c r="AH56" i="1"/>
  <c r="AL55" i="1"/>
  <c r="AH55" i="1"/>
  <c r="AL54" i="1"/>
  <c r="AH54" i="1"/>
  <c r="AL53" i="1"/>
  <c r="AH53" i="1"/>
  <c r="AL52" i="1"/>
  <c r="AH52" i="1"/>
  <c r="AL51" i="1"/>
  <c r="AH51" i="1"/>
  <c r="AL50" i="1"/>
  <c r="AH50" i="1"/>
  <c r="AL49" i="1"/>
  <c r="AH49" i="1"/>
  <c r="AJ89" i="1"/>
  <c r="AK89" i="1" s="1"/>
  <c r="AH89" i="1"/>
  <c r="AI89" i="1" s="1"/>
  <c r="AF89" i="1"/>
  <c r="AJ88" i="1"/>
  <c r="AK88" i="1" s="1"/>
  <c r="AH88" i="1"/>
  <c r="AI88" i="1" s="1"/>
  <c r="AF88" i="1"/>
  <c r="AJ87" i="1"/>
  <c r="AK87" i="1" s="1"/>
  <c r="AH87" i="1"/>
  <c r="AI87" i="1" s="1"/>
  <c r="AF87" i="1"/>
  <c r="AJ86" i="1"/>
  <c r="AK86" i="1" s="1"/>
  <c r="AH86" i="1"/>
  <c r="AI86" i="1" s="1"/>
  <c r="AF86" i="1"/>
  <c r="AJ85" i="1"/>
  <c r="AK85" i="1" s="1"/>
  <c r="AH85" i="1"/>
  <c r="AF85" i="1"/>
  <c r="AJ84" i="1"/>
  <c r="AH84" i="1"/>
  <c r="AI84" i="1" s="1"/>
  <c r="AF84" i="1"/>
  <c r="AJ83" i="1"/>
  <c r="AK83" i="1" s="1"/>
  <c r="AH83" i="1"/>
  <c r="AI83" i="1" s="1"/>
  <c r="AF83" i="1"/>
  <c r="AJ82" i="1"/>
  <c r="AK82" i="1" s="1"/>
  <c r="AH82" i="1"/>
  <c r="AI82" i="1" s="1"/>
  <c r="AF82" i="1"/>
  <c r="AL78" i="1"/>
  <c r="AH78" i="1"/>
  <c r="AF78" i="1"/>
  <c r="AD78" i="1"/>
  <c r="AL77" i="1"/>
  <c r="AH77" i="1"/>
  <c r="AF77" i="1"/>
  <c r="AD77" i="1"/>
  <c r="AL76" i="1"/>
  <c r="AH76" i="1"/>
  <c r="AF76" i="1"/>
  <c r="AD76" i="1"/>
  <c r="AL75" i="1"/>
  <c r="AH75" i="1"/>
  <c r="AF75" i="1"/>
  <c r="AD75" i="1"/>
  <c r="AL74" i="1"/>
  <c r="AH74" i="1"/>
  <c r="AF74" i="1"/>
  <c r="AD74" i="1"/>
  <c r="AL73" i="1"/>
  <c r="AH73" i="1"/>
  <c r="AF73" i="1"/>
  <c r="AD73" i="1"/>
  <c r="AL72" i="1"/>
  <c r="AH72" i="1"/>
  <c r="AF72" i="1"/>
  <c r="AD72" i="1"/>
  <c r="AL71" i="1"/>
  <c r="AH71" i="1"/>
  <c r="AF71" i="1"/>
  <c r="AD71" i="1"/>
  <c r="AP33" i="1" l="1"/>
  <c r="AP31" i="1"/>
  <c r="AP28" i="1"/>
  <c r="AI32" i="1"/>
  <c r="AI33" i="1"/>
  <c r="M49" i="1"/>
  <c r="M50" i="1" l="1"/>
  <c r="M61" i="1" s="1"/>
  <c r="K56" i="1"/>
  <c r="L23" i="1" s="1"/>
  <c r="M23" i="1" s="1"/>
  <c r="K55" i="1"/>
  <c r="L22" i="1" s="1"/>
  <c r="M22" i="1" s="1"/>
  <c r="K54" i="1"/>
  <c r="L21" i="1" s="1"/>
  <c r="M21" i="1" s="1"/>
  <c r="K53" i="1"/>
  <c r="L20" i="1" s="1"/>
  <c r="M20" i="1" s="1"/>
  <c r="K52" i="1"/>
  <c r="L19" i="1" s="1"/>
  <c r="M19" i="1" s="1"/>
  <c r="K51" i="1"/>
  <c r="L18" i="1" s="1"/>
  <c r="M18" i="1" s="1"/>
  <c r="M76" i="1"/>
  <c r="M87" i="1" s="1"/>
  <c r="K72" i="1"/>
  <c r="K73" i="1"/>
  <c r="M73" i="1" s="1"/>
  <c r="M84" i="1" s="1"/>
  <c r="K74" i="1"/>
  <c r="K75" i="1"/>
  <c r="K76" i="1"/>
  <c r="K77" i="1"/>
  <c r="K78" i="1"/>
  <c r="K71" i="1"/>
  <c r="M77" i="1" l="1"/>
  <c r="M88" i="1" s="1"/>
  <c r="M52" i="1"/>
  <c r="M63" i="1" s="1"/>
  <c r="M71" i="1"/>
  <c r="M82" i="1" s="1"/>
  <c r="M78" i="1"/>
  <c r="M89" i="1" s="1"/>
  <c r="M75" i="1"/>
  <c r="M86" i="1" s="1"/>
  <c r="M74" i="1"/>
  <c r="M85" i="1" s="1"/>
  <c r="M72" i="1"/>
  <c r="M83" i="1" s="1"/>
  <c r="M51" i="1"/>
  <c r="M62" i="1" s="1"/>
  <c r="M53" i="1"/>
  <c r="M64" i="1" s="1"/>
  <c r="M54" i="1"/>
  <c r="M65" i="1" s="1"/>
  <c r="M55" i="1"/>
  <c r="M66" i="1" s="1"/>
  <c r="M56" i="1"/>
  <c r="M67" i="1" s="1"/>
  <c r="M60" i="1"/>
</calcChain>
</file>

<file path=xl/sharedStrings.xml><?xml version="1.0" encoding="utf-8"?>
<sst xmlns="http://schemas.openxmlformats.org/spreadsheetml/2006/main" count="334" uniqueCount="151">
  <si>
    <t>Material</t>
  </si>
  <si>
    <t>strut positions</t>
  </si>
  <si>
    <t>strut mass</t>
  </si>
  <si>
    <t>total mass</t>
  </si>
  <si>
    <t>total costs</t>
  </si>
  <si>
    <t>33964650.74386799]</t>
  </si>
  <si>
    <t>8857.01931948]</t>
  </si>
  <si>
    <t>strut area due force</t>
  </si>
  <si>
    <t>strut area due buckling</t>
  </si>
  <si>
    <t>skin mass</t>
  </si>
  <si>
    <t>spar mass</t>
  </si>
  <si>
    <t>boom mass</t>
  </si>
  <si>
    <t>critical stress</t>
  </si>
  <si>
    <t>ALU 2000</t>
  </si>
  <si>
    <t>15390.72413483]</t>
  </si>
  <si>
    <t>Case</t>
  </si>
  <si>
    <t>Landing</t>
  </si>
  <si>
    <t>Nmin</t>
  </si>
  <si>
    <t>35892.54733265]</t>
  </si>
  <si>
    <t>Dive speed</t>
  </si>
  <si>
    <t>40703921.77313951]</t>
  </si>
  <si>
    <t>strut mass new</t>
  </si>
  <si>
    <t>[0.00911736</t>
  </si>
  <si>
    <t>0.03387106]</t>
  </si>
  <si>
    <t>[0.08963197</t>
  </si>
  <si>
    <t>0.06988522]</t>
  </si>
  <si>
    <t>[11596079.72587029</t>
  </si>
  <si>
    <t>[540.83588951</t>
  </si>
  <si>
    <t>812.77008059]</t>
  </si>
  <si>
    <t>[0.00843491</t>
  </si>
  <si>
    <t>0.03203352]</t>
  </si>
  <si>
    <t>[0.08621218</t>
  </si>
  <si>
    <t>0.06796312]</t>
  </si>
  <si>
    <t>[11153646.40934044</t>
  </si>
  <si>
    <t>53732400.13930383]</t>
  </si>
  <si>
    <t>[500.3534091</t>
  </si>
  <si>
    <t>768.67652726]</t>
  </si>
  <si>
    <t>Nmax</t>
  </si>
  <si>
    <t>ALU 7000</t>
  </si>
  <si>
    <t>[0.00911717</t>
  </si>
  <si>
    <t>0.03384064]</t>
  </si>
  <si>
    <t>[0.09147927</t>
  </si>
  <si>
    <t>0.07129427]</t>
  </si>
  <si>
    <t>[11361669.98351376</t>
  </si>
  <si>
    <t>54111402.16202115]</t>
  </si>
  <si>
    <t>[546.66057016</t>
  </si>
  <si>
    <t>[0.00462609</t>
  </si>
  <si>
    <t>0.01839719]</t>
  </si>
  <si>
    <t>[0.06516282</t>
  </si>
  <si>
    <t>0.05256675]</t>
  </si>
  <si>
    <t>39897462.78305677]</t>
  </si>
  <si>
    <t>15390.72362069]</t>
  </si>
  <si>
    <t>mass minus strut</t>
  </si>
  <si>
    <t>total new mass</t>
  </si>
  <si>
    <t>total new costs</t>
  </si>
  <si>
    <t>[0.00266173</t>
  </si>
  <si>
    <t>0.01081797]</t>
  </si>
  <si>
    <t>[0.05378844</t>
  </si>
  <si>
    <t>0.04386545]</t>
  </si>
  <si>
    <t>[2248.72656976</t>
  </si>
  <si>
    <t>[3225.12594506</t>
  </si>
  <si>
    <t>1063.95446204]</t>
  </si>
  <si>
    <t>Carbon</t>
  </si>
  <si>
    <t>boom area</t>
  </si>
  <si>
    <t>Ndive</t>
  </si>
  <si>
    <t>Boom mass</t>
  </si>
  <si>
    <t>Total costs</t>
  </si>
  <si>
    <t>Total mass</t>
  </si>
  <si>
    <t>Strut mass</t>
  </si>
  <si>
    <t>Strut cost</t>
  </si>
  <si>
    <t>Boom cost</t>
  </si>
  <si>
    <t>Total cost</t>
  </si>
  <si>
    <t>Position</t>
  </si>
  <si>
    <t>strut mass [237.31149168 240.43531024 243.62446073 246.88122853 250.20821177</t>
  </si>
  <si>
    <t xml:space="preserve"> 253.60832977]</t>
  </si>
  <si>
    <t>strut cost [8353.36450728 8463.32292043 8575.58101779 8690.2192444  8807.32905435</t>
  </si>
  <si>
    <t xml:space="preserve"> 8927.01320775]</t>
  </si>
  <si>
    <t>F_area</t>
  </si>
  <si>
    <t>Boom area</t>
  </si>
  <si>
    <t>L_strut</t>
  </si>
  <si>
    <t xml:space="preserve">boom mass [ </t>
  </si>
  <si>
    <t>]</t>
  </si>
  <si>
    <t xml:space="preserve">boom cost [   </t>
  </si>
  <si>
    <t>strut mass [256.3208743  259.57525088 262.89170383 266.27222224 269.68637349</t>
  </si>
  <si>
    <t xml:space="preserve"> 273.14618717]</t>
  </si>
  <si>
    <t>strut cost [9022.49477546 9137.04883095 9253.78797466 9372.78222278 9492.96034674</t>
  </si>
  <si>
    <t xml:space="preserve"> 9614.74578846]</t>
  </si>
  <si>
    <t>F_area_strut</t>
  </si>
  <si>
    <t>strut cost [80099.29428487 77795.60443344 75501.48701491 73217.78994647</t>
  </si>
  <si>
    <t xml:space="preserve"> 70945.44489447 68685.47136407]</t>
  </si>
  <si>
    <t>Area strut B</t>
  </si>
  <si>
    <t>Strut radius</t>
  </si>
  <si>
    <t>Diameter</t>
  </si>
  <si>
    <t>Thickness horizontal sparr</t>
  </si>
  <si>
    <t>Spar Mass</t>
  </si>
  <si>
    <t>Length horizontal sparr</t>
  </si>
  <si>
    <t>stress</t>
  </si>
  <si>
    <t>Izz root</t>
  </si>
  <si>
    <t>Total spar area increase with 10 %</t>
  </si>
  <si>
    <t>Total boom area increase with 10 %</t>
  </si>
  <si>
    <t>Thickness vertical spar</t>
  </si>
  <si>
    <t>tskin</t>
  </si>
  <si>
    <t>Final choice</t>
  </si>
  <si>
    <t>l_spar_h</t>
  </si>
  <si>
    <t>t_spar_h</t>
  </si>
  <si>
    <t>t_spar_v</t>
  </si>
  <si>
    <t>t_skin</t>
  </si>
  <si>
    <t>skin</t>
  </si>
  <si>
    <t>mass</t>
  </si>
  <si>
    <t>boom</t>
  </si>
  <si>
    <t>[16911.94376278]</t>
  </si>
  <si>
    <t>cost</t>
  </si>
  <si>
    <t>[33147.40977506]</t>
  </si>
  <si>
    <t>strut</t>
  </si>
  <si>
    <t>total</t>
  </si>
  <si>
    <t>max_stress</t>
  </si>
  <si>
    <t>up</t>
  </si>
  <si>
    <t>low</t>
  </si>
  <si>
    <t>min_stress</t>
  </si>
  <si>
    <t>strut area</t>
  </si>
  <si>
    <t>spar</t>
  </si>
  <si>
    <t>area due to force [0.00858064]</t>
  </si>
  <si>
    <t>spar mass 9124.721122949974</t>
  </si>
  <si>
    <t>critical stress [12900796.46595303]</t>
  </si>
  <si>
    <t>skin mass 3036.734443009811</t>
  </si>
  <si>
    <t>boom mass [8455.97188139]</t>
  </si>
  <si>
    <t>boom cost [16573.70488753]</t>
  </si>
  <si>
    <t>length strut 18.458209056101868</t>
  </si>
  <si>
    <t>deflection of strut 0.012958424011577943</t>
  </si>
  <si>
    <t>Strut force and deflections</t>
  </si>
  <si>
    <t>Strut force 1201289.8690754536</t>
  </si>
  <si>
    <t>Deflection of the strut 0.012958424011577943</t>
  </si>
  <si>
    <t>Required strut area 0.012012898690754536</t>
  </si>
  <si>
    <t>Root moment around z:  5069740.656571355</t>
  </si>
  <si>
    <t>Root moment around y:  7484937.585407285</t>
  </si>
  <si>
    <t>Root force around y:  1470183.4731577921</t>
  </si>
  <si>
    <t>Root force around z:  -505804.812125947</t>
  </si>
  <si>
    <t>I_zz 0.054416902713955946</t>
  </si>
  <si>
    <t>Strut force 1202335.5093414588</t>
  </si>
  <si>
    <t>Required strut area 0.012023355093414588</t>
  </si>
  <si>
    <t>Root moment around z:  5048723.28722465</t>
  </si>
  <si>
    <t>Root force around y:  1469137.832891787</t>
  </si>
  <si>
    <t>Updated boom area for strut pos8.05</t>
  </si>
  <si>
    <t>I_zz 0.029821387791429666</t>
  </si>
  <si>
    <t>area due to buckling [0.0691249]</t>
  </si>
  <si>
    <t>strut mass [2015.95647974]</t>
  </si>
  <si>
    <t>strut cost [70961.66808671]</t>
  </si>
  <si>
    <t>is zonder strut mass</t>
  </si>
  <si>
    <t xml:space="preserve">is zonder strut </t>
  </si>
  <si>
    <t>total cost</t>
  </si>
  <si>
    <t>deflection of strut 424011577943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</si>
</sst>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3" fillId="0" borderId="1" xfId="0" applyFont="1" applyBorder="1"/>
    <xf numFmtId="0" fontId="4" fillId="0" borderId="0" xfId="0" applyFont="1" applyBorder="1"/>
    <xf numFmtId="0" fontId="0" fillId="0" borderId="0" xfId="0" applyBorder="1"/>
    <xf numFmtId="0" fontId="3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0" fontId="5" fillId="0" borderId="1" xfId="0" applyFont="1" applyBorder="1"/>
    <xf numFmtId="0" fontId="6" fillId="0" borderId="1" xfId="0" applyFont="1" applyBorder="1"/>
    <xf numFmtId="0" fontId="2" fillId="0" borderId="0" xfId="0" applyFont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6" fillId="2" borderId="0" xfId="0" applyFont="1" applyFill="1"/>
    <xf numFmtId="0" fontId="6" fillId="2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6F23-BF4A-4000-8A04-A4F528CA684A}">
  <dimension ref="A2:W31"/>
  <sheetViews>
    <sheetView topLeftCell="B1" workbookViewId="0">
      <selection activeCell="K13" sqref="K13"/>
    </sheetView>
  </sheetViews>
  <sheetFormatPr defaultRowHeight="14.5" x14ac:dyDescent="0.35"/>
  <cols>
    <col min="2" max="2" width="9.54296875" bestFit="1" customWidth="1"/>
    <col min="3" max="3" width="10.453125" bestFit="1" customWidth="1"/>
    <col min="4" max="4" width="9.7265625" bestFit="1" customWidth="1"/>
    <col min="5" max="5" width="8.6328125" bestFit="1" customWidth="1"/>
    <col min="6" max="6" width="9.54296875" bestFit="1" customWidth="1"/>
    <col min="7" max="7" width="9.54296875" customWidth="1"/>
    <col min="8" max="8" width="11.36328125" bestFit="1" customWidth="1"/>
    <col min="9" max="9" width="10.81640625" bestFit="1" customWidth="1"/>
    <col min="14" max="15" width="11.81640625" bestFit="1" customWidth="1"/>
    <col min="16" max="17" width="10.81640625" bestFit="1" customWidth="1"/>
  </cols>
  <sheetData>
    <row r="2" spans="1:23" x14ac:dyDescent="0.35">
      <c r="A2" t="s">
        <v>15</v>
      </c>
      <c r="B2" t="s">
        <v>37</v>
      </c>
      <c r="L2" t="s">
        <v>64</v>
      </c>
      <c r="U2" t="s">
        <v>17</v>
      </c>
    </row>
    <row r="4" spans="1:23" x14ac:dyDescent="0.35">
      <c r="A4" t="s">
        <v>72</v>
      </c>
      <c r="B4" t="s">
        <v>79</v>
      </c>
      <c r="C4" t="s">
        <v>65</v>
      </c>
      <c r="D4" t="s">
        <v>70</v>
      </c>
      <c r="E4" t="s">
        <v>87</v>
      </c>
      <c r="F4" t="s">
        <v>78</v>
      </c>
      <c r="H4" t="s">
        <v>78</v>
      </c>
      <c r="I4" t="s">
        <v>65</v>
      </c>
      <c r="J4" t="s">
        <v>70</v>
      </c>
      <c r="L4" t="s">
        <v>72</v>
      </c>
      <c r="N4" t="s">
        <v>65</v>
      </c>
      <c r="O4" t="s">
        <v>70</v>
      </c>
      <c r="P4" t="s">
        <v>77</v>
      </c>
      <c r="Q4" t="s">
        <v>78</v>
      </c>
      <c r="U4" t="s">
        <v>68</v>
      </c>
      <c r="V4" t="s">
        <v>69</v>
      </c>
      <c r="W4" t="s">
        <v>90</v>
      </c>
    </row>
    <row r="5" spans="1:23" x14ac:dyDescent="0.35">
      <c r="A5">
        <v>6.05</v>
      </c>
      <c r="B5">
        <v>20.374137569999998</v>
      </c>
      <c r="C5">
        <v>8198.9209916599993</v>
      </c>
      <c r="D5">
        <v>16069.88514366</v>
      </c>
      <c r="E5">
        <v>7.3719500000000004E-3</v>
      </c>
      <c r="F5">
        <f>0.00436321</f>
        <v>4.3632100000000002E-3</v>
      </c>
      <c r="H5">
        <f>MAX(F5,Q5)</f>
        <v>4.3632100000000002E-3</v>
      </c>
      <c r="I5">
        <f>MAX(C5,N5)</f>
        <v>8198.9209916599993</v>
      </c>
      <c r="J5">
        <f>I5*1.96</f>
        <v>16069.885143653599</v>
      </c>
      <c r="L5">
        <v>6.05</v>
      </c>
      <c r="N5">
        <v>7219.6743514099999</v>
      </c>
      <c r="O5">
        <v>14150.56172876</v>
      </c>
      <c r="P5">
        <v>7.9624699999999993E-3</v>
      </c>
      <c r="Q5">
        <v>3.8420799999999999E-3</v>
      </c>
      <c r="U5">
        <v>2275.5481330900002</v>
      </c>
      <c r="V5">
        <f t="shared" ref="V5:V10" si="0">U5*35.2</f>
        <v>80099.29428476801</v>
      </c>
      <c r="W5">
        <v>7.0688650000000006E-2</v>
      </c>
    </row>
    <row r="6" spans="1:23" x14ac:dyDescent="0.35">
      <c r="A6">
        <v>6.55</v>
      </c>
      <c r="B6">
        <v>19.89360404</v>
      </c>
      <c r="C6">
        <v>7457.0444886100004</v>
      </c>
      <c r="D6">
        <v>14615.80719768</v>
      </c>
      <c r="E6">
        <v>7.6494099999999997E-3</v>
      </c>
      <c r="F6">
        <f>0.0039684</f>
        <v>3.9684000000000004E-3</v>
      </c>
      <c r="H6">
        <f t="shared" ref="H6:H10" si="1">MAX(F6,Q6)</f>
        <v>3.9684000000000004E-3</v>
      </c>
      <c r="I6">
        <f t="shared" ref="I6:I10" si="2">MAX(C6,N6)</f>
        <v>7457.0444886100004</v>
      </c>
      <c r="J6">
        <f t="shared" ref="J6:J10" si="3">I6*1.96</f>
        <v>14615.8071976756</v>
      </c>
      <c r="L6">
        <v>6.55</v>
      </c>
      <c r="N6">
        <v>6395.8425925299998</v>
      </c>
      <c r="O6">
        <v>12535.85148136</v>
      </c>
      <c r="P6">
        <v>8.2583399999999994E-3</v>
      </c>
      <c r="Q6">
        <v>3.4036600000000002E-3</v>
      </c>
      <c r="U6">
        <v>2210.1023986800001</v>
      </c>
      <c r="V6">
        <f t="shared" si="0"/>
        <v>77795.604433536006</v>
      </c>
      <c r="W6">
        <v>7.0314009999999996E-2</v>
      </c>
    </row>
    <row r="7" spans="1:23" x14ac:dyDescent="0.35">
      <c r="A7">
        <v>7.05</v>
      </c>
      <c r="B7">
        <v>19.414053710000001</v>
      </c>
      <c r="C7">
        <v>6713.7415012700003</v>
      </c>
      <c r="D7">
        <v>13158.93334249</v>
      </c>
      <c r="E7">
        <v>7.9423199999999992E-3</v>
      </c>
      <c r="F7">
        <f>0.00357284</f>
        <v>3.5728399999999999E-3</v>
      </c>
      <c r="H7">
        <f t="shared" si="1"/>
        <v>3.5728399999999999E-3</v>
      </c>
      <c r="I7">
        <f t="shared" si="2"/>
        <v>6713.7415012700003</v>
      </c>
      <c r="J7">
        <f t="shared" si="3"/>
        <v>13158.933342489201</v>
      </c>
      <c r="L7">
        <v>7.05</v>
      </c>
      <c r="N7">
        <v>5579.4761337</v>
      </c>
      <c r="O7">
        <v>10935.77322216</v>
      </c>
      <c r="P7">
        <v>8.5704500000000003E-3</v>
      </c>
      <c r="Q7">
        <v>2.9692199999999998E-3</v>
      </c>
      <c r="U7">
        <v>2144.9286083799998</v>
      </c>
      <c r="V7">
        <f t="shared" si="0"/>
        <v>75501.487014975995</v>
      </c>
      <c r="W7">
        <v>6.9926139999999998E-2</v>
      </c>
    </row>
    <row r="8" spans="1:23" x14ac:dyDescent="0.35">
      <c r="A8">
        <v>7.55</v>
      </c>
      <c r="B8">
        <v>18.9355613</v>
      </c>
      <c r="C8">
        <v>5971.46495779</v>
      </c>
      <c r="D8">
        <v>11704.071317280001</v>
      </c>
      <c r="E8">
        <v>8.2518799999999996E-3</v>
      </c>
      <c r="F8">
        <v>3.17782E-3</v>
      </c>
      <c r="H8">
        <f t="shared" si="1"/>
        <v>3.17782E-3</v>
      </c>
      <c r="I8">
        <f t="shared" si="2"/>
        <v>5971.46495779</v>
      </c>
      <c r="J8">
        <f t="shared" si="3"/>
        <v>11704.071317268399</v>
      </c>
      <c r="L8">
        <v>7.55</v>
      </c>
      <c r="N8">
        <v>4774.6552306599997</v>
      </c>
      <c r="O8">
        <v>9358.3242520900003</v>
      </c>
      <c r="P8">
        <v>8.9000099999999999E-3</v>
      </c>
      <c r="Q8">
        <v>2.5409199999999999E-3</v>
      </c>
      <c r="U8">
        <v>2080.0508507499999</v>
      </c>
      <c r="V8">
        <f t="shared" si="0"/>
        <v>73217.789946400007</v>
      </c>
      <c r="W8">
        <v>6.9524630000000004E-2</v>
      </c>
    </row>
    <row r="9" spans="1:23" x14ac:dyDescent="0.35">
      <c r="A9">
        <v>8.0500000000000007</v>
      </c>
      <c r="B9">
        <v>18.458209060000002</v>
      </c>
      <c r="C9">
        <v>5232.8985236999997</v>
      </c>
      <c r="D9">
        <v>10256.48110644</v>
      </c>
      <c r="E9">
        <v>8.5793599999999994E-3</v>
      </c>
      <c r="F9">
        <v>2.7847800000000002E-3</v>
      </c>
      <c r="H9">
        <f t="shared" si="1"/>
        <v>2.7847800000000002E-3</v>
      </c>
      <c r="I9">
        <f>MAX(C9,N9)</f>
        <v>5232.8985236999997</v>
      </c>
      <c r="J9">
        <f t="shared" si="3"/>
        <v>10256.481106452</v>
      </c>
      <c r="L9">
        <v>8.0500000000000007</v>
      </c>
      <c r="N9">
        <v>5140.0992834199997</v>
      </c>
      <c r="O9">
        <v>10074.594595500001</v>
      </c>
      <c r="P9">
        <v>9.2472400000000003E-3</v>
      </c>
      <c r="Q9">
        <v>2.7353999999999998E-3</v>
      </c>
      <c r="U9">
        <v>2015.49559359</v>
      </c>
      <c r="V9">
        <f t="shared" si="0"/>
        <v>70945.444894368004</v>
      </c>
      <c r="W9">
        <v>6.9109089999999998E-2</v>
      </c>
    </row>
    <row r="10" spans="1:23" x14ac:dyDescent="0.35">
      <c r="A10">
        <v>8.5500000000000007</v>
      </c>
      <c r="B10">
        <v>17.982087799999999</v>
      </c>
      <c r="C10">
        <v>4502.2188467300002</v>
      </c>
      <c r="D10">
        <v>8824.3489395899996</v>
      </c>
      <c r="E10">
        <v>8.9261900000000005E-3</v>
      </c>
      <c r="F10">
        <v>2.39594E-3</v>
      </c>
      <c r="H10">
        <f t="shared" si="1"/>
        <v>3.2316699999999999E-3</v>
      </c>
      <c r="I10">
        <f t="shared" si="2"/>
        <v>6072.6555977300004</v>
      </c>
      <c r="J10">
        <f t="shared" si="3"/>
        <v>11902.404971550801</v>
      </c>
      <c r="N10">
        <v>6072.6555977300004</v>
      </c>
      <c r="O10">
        <v>11902.4049715</v>
      </c>
      <c r="P10">
        <v>9.6138600000000001E-3</v>
      </c>
      <c r="Q10">
        <v>3.2316699999999999E-3</v>
      </c>
      <c r="U10">
        <v>1951.2918001200001</v>
      </c>
      <c r="V10">
        <f t="shared" si="0"/>
        <v>68685.471364224009</v>
      </c>
      <c r="W10">
        <v>6.8679169999999998E-2</v>
      </c>
    </row>
    <row r="15" spans="1:23" x14ac:dyDescent="0.35">
      <c r="I15" t="s">
        <v>72</v>
      </c>
      <c r="J15" t="s">
        <v>67</v>
      </c>
      <c r="L15" t="s">
        <v>71</v>
      </c>
      <c r="N15" t="s">
        <v>91</v>
      </c>
      <c r="O15" t="s">
        <v>92</v>
      </c>
    </row>
    <row r="16" spans="1:23" x14ac:dyDescent="0.35">
      <c r="I16">
        <v>6.05</v>
      </c>
      <c r="J16">
        <f>I5+U5</f>
        <v>10474.46912475</v>
      </c>
      <c r="L16">
        <f>J5+V5</f>
        <v>96169.179428421601</v>
      </c>
      <c r="N16">
        <f>SQRT(W5/PI())</f>
        <v>0.15000298709021037</v>
      </c>
      <c r="O16">
        <f>N16*2</f>
        <v>0.30000597418042074</v>
      </c>
    </row>
    <row r="17" spans="1:20" x14ac:dyDescent="0.35">
      <c r="I17">
        <v>6.55</v>
      </c>
      <c r="J17">
        <f>I6+U6</f>
        <v>9667.1468872900004</v>
      </c>
      <c r="L17">
        <f t="shared" ref="L17:L21" si="4">J6+V6</f>
        <v>92411.411631211609</v>
      </c>
      <c r="N17">
        <f t="shared" ref="N17:N21" si="5">SQRT(W6/PI())</f>
        <v>0.14960496154949515</v>
      </c>
      <c r="O17">
        <f t="shared" ref="O17:O21" si="6">N17*2</f>
        <v>0.2992099230989903</v>
      </c>
    </row>
    <row r="18" spans="1:20" x14ac:dyDescent="0.35">
      <c r="I18">
        <v>7.05</v>
      </c>
      <c r="J18">
        <f>I7+U7</f>
        <v>8858.6701096500001</v>
      </c>
      <c r="L18">
        <f t="shared" si="4"/>
        <v>88660.420357465191</v>
      </c>
      <c r="N18">
        <f t="shared" si="5"/>
        <v>0.14919176138336798</v>
      </c>
      <c r="O18">
        <f t="shared" si="6"/>
        <v>0.29838352276673596</v>
      </c>
    </row>
    <row r="19" spans="1:20" x14ac:dyDescent="0.35">
      <c r="A19" t="s">
        <v>80</v>
      </c>
      <c r="I19">
        <v>7.55</v>
      </c>
      <c r="J19">
        <f>I8+U8</f>
        <v>8051.5158085399999</v>
      </c>
      <c r="L19">
        <f t="shared" si="4"/>
        <v>84921.861263668412</v>
      </c>
      <c r="N19">
        <f t="shared" si="5"/>
        <v>0.14876282150547615</v>
      </c>
      <c r="O19">
        <f t="shared" si="6"/>
        <v>0.2975256430109523</v>
      </c>
    </row>
    <row r="20" spans="1:20" x14ac:dyDescent="0.35">
      <c r="A20" t="s">
        <v>81</v>
      </c>
      <c r="I20" s="20">
        <v>8.0500000000000007</v>
      </c>
      <c r="J20" s="20">
        <f>I9+U9</f>
        <v>7248.3941172899995</v>
      </c>
      <c r="K20" s="20"/>
      <c r="L20" s="20">
        <f>J9+V9</f>
        <v>81201.926000820007</v>
      </c>
      <c r="M20" s="20"/>
      <c r="N20" s="20">
        <f>SQRT(W9/PI())</f>
        <v>0.14831758686064625</v>
      </c>
      <c r="O20" s="20">
        <f t="shared" si="6"/>
        <v>0.2966351737212925</v>
      </c>
    </row>
    <row r="21" spans="1:20" x14ac:dyDescent="0.35">
      <c r="I21">
        <v>8.5500000000000007</v>
      </c>
      <c r="J21">
        <f>I10+U10</f>
        <v>8023.9473978500009</v>
      </c>
      <c r="L21">
        <f t="shared" si="4"/>
        <v>80587.87633577481</v>
      </c>
      <c r="N21">
        <f t="shared" si="5"/>
        <v>0.14785553349772612</v>
      </c>
      <c r="O21">
        <f t="shared" si="6"/>
        <v>0.29571106699545224</v>
      </c>
    </row>
    <row r="22" spans="1:20" x14ac:dyDescent="0.35">
      <c r="A22" t="s">
        <v>82</v>
      </c>
    </row>
    <row r="23" spans="1:20" x14ac:dyDescent="0.35">
      <c r="A23" t="s">
        <v>81</v>
      </c>
    </row>
    <row r="25" spans="1:20" x14ac:dyDescent="0.35">
      <c r="A25" t="s">
        <v>73</v>
      </c>
    </row>
    <row r="26" spans="1:20" x14ac:dyDescent="0.35">
      <c r="A26" t="s">
        <v>74</v>
      </c>
    </row>
    <row r="27" spans="1:20" x14ac:dyDescent="0.35">
      <c r="L27" t="s">
        <v>83</v>
      </c>
    </row>
    <row r="28" spans="1:20" x14ac:dyDescent="0.35">
      <c r="A28" t="s">
        <v>75</v>
      </c>
      <c r="L28" t="s">
        <v>84</v>
      </c>
    </row>
    <row r="29" spans="1:20" x14ac:dyDescent="0.35">
      <c r="A29" t="s">
        <v>76</v>
      </c>
      <c r="T29" t="s">
        <v>88</v>
      </c>
    </row>
    <row r="30" spans="1:20" x14ac:dyDescent="0.35">
      <c r="L30" t="s">
        <v>85</v>
      </c>
      <c r="T30" t="s">
        <v>89</v>
      </c>
    </row>
    <row r="31" spans="1:20" x14ac:dyDescent="0.35">
      <c r="L3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992D-6E6F-4199-A59F-71854131EE8F}">
  <dimension ref="A2:AQ94"/>
  <sheetViews>
    <sheetView topLeftCell="X17" zoomScale="60" zoomScaleNormal="60" workbookViewId="0">
      <selection activeCell="AD16" sqref="AD16"/>
    </sheetView>
  </sheetViews>
  <sheetFormatPr defaultRowHeight="14.5" x14ac:dyDescent="0.35"/>
  <cols>
    <col min="1" max="1" width="18.81640625" bestFit="1" customWidth="1"/>
    <col min="2" max="2" width="9" customWidth="1"/>
    <col min="3" max="3" width="24.81640625" bestFit="1" customWidth="1"/>
    <col min="5" max="5" width="28.08984375" bestFit="1" customWidth="1"/>
    <col min="7" max="7" width="17.1796875" bestFit="1" customWidth="1"/>
    <col min="8" max="8" width="13.453125" customWidth="1"/>
    <col min="9" max="9" width="20.36328125" bestFit="1" customWidth="1"/>
    <col min="10" max="10" width="13.453125" customWidth="1"/>
    <col min="11" max="11" width="19" bestFit="1" customWidth="1"/>
    <col min="12" max="12" width="13.453125" customWidth="1"/>
    <col min="13" max="13" width="18.453125" bestFit="1" customWidth="1"/>
    <col min="15" max="15" width="18.81640625" bestFit="1" customWidth="1"/>
    <col min="16" max="16" width="13.1796875" bestFit="1" customWidth="1"/>
    <col min="17" max="17" width="24.81640625" bestFit="1" customWidth="1"/>
    <col min="19" max="19" width="28.08984375" bestFit="1" customWidth="1"/>
    <col min="21" max="21" width="17.1796875" bestFit="1" customWidth="1"/>
    <col min="22" max="22" width="18.81640625" bestFit="1" customWidth="1"/>
    <col min="23" max="23" width="20.81640625" bestFit="1" customWidth="1"/>
    <col min="24" max="24" width="24.81640625" bestFit="1" customWidth="1"/>
    <col min="25" max="27" width="24.81640625" customWidth="1"/>
    <col min="28" max="28" width="18.08984375" style="11" bestFit="1" customWidth="1"/>
    <col min="29" max="29" width="9.90625" bestFit="1" customWidth="1"/>
    <col min="31" max="31" width="13.90625" bestFit="1" customWidth="1"/>
    <col min="33" max="33" width="17.6328125" bestFit="1" customWidth="1"/>
    <col min="35" max="35" width="13.453125" bestFit="1" customWidth="1"/>
    <col min="41" max="41" width="14.54296875" bestFit="1" customWidth="1"/>
    <col min="42" max="42" width="14" customWidth="1"/>
    <col min="43" max="43" width="14" bestFit="1" customWidth="1"/>
  </cols>
  <sheetData>
    <row r="2" spans="1:38" ht="18.5" x14ac:dyDescent="0.45">
      <c r="A2" s="2" t="s">
        <v>0</v>
      </c>
      <c r="B2" s="3" t="s">
        <v>13</v>
      </c>
      <c r="O2" s="5" t="s">
        <v>0</v>
      </c>
      <c r="P2" s="6" t="s">
        <v>38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6" t="s">
        <v>0</v>
      </c>
      <c r="AC2" s="13" t="s">
        <v>62</v>
      </c>
      <c r="AD2" s="13"/>
      <c r="AE2" s="13"/>
      <c r="AF2" s="13"/>
      <c r="AG2" s="13"/>
      <c r="AH2" s="13"/>
      <c r="AI2" s="13"/>
      <c r="AJ2" s="13"/>
    </row>
    <row r="3" spans="1:38" ht="18.5" x14ac:dyDescent="0.45">
      <c r="A3" s="2" t="s">
        <v>15</v>
      </c>
      <c r="B3" s="2" t="s">
        <v>37</v>
      </c>
      <c r="O3" s="5" t="s">
        <v>15</v>
      </c>
      <c r="P3" s="8" t="s">
        <v>37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11" t="s">
        <v>15</v>
      </c>
      <c r="AC3" s="12" t="s">
        <v>37</v>
      </c>
      <c r="AD3" s="13"/>
      <c r="AE3" s="13"/>
      <c r="AF3" s="13"/>
      <c r="AG3" s="13"/>
      <c r="AH3" s="13"/>
      <c r="AI3" s="13"/>
      <c r="AJ3" s="13"/>
    </row>
    <row r="4" spans="1:38" x14ac:dyDescent="0.35">
      <c r="A4" s="1" t="s">
        <v>1</v>
      </c>
      <c r="B4" s="1"/>
      <c r="C4" s="1" t="s">
        <v>7</v>
      </c>
      <c r="D4" s="1"/>
      <c r="E4" s="1" t="s">
        <v>8</v>
      </c>
      <c r="F4" s="1"/>
      <c r="G4" s="1" t="s">
        <v>2</v>
      </c>
      <c r="H4" s="1"/>
      <c r="I4" s="1" t="s">
        <v>12</v>
      </c>
      <c r="O4" s="9" t="s">
        <v>1</v>
      </c>
      <c r="P4" s="10"/>
      <c r="Q4" s="10" t="s">
        <v>7</v>
      </c>
      <c r="R4" s="10"/>
      <c r="S4" s="10" t="s">
        <v>8</v>
      </c>
      <c r="T4" s="10"/>
      <c r="U4" s="10" t="s">
        <v>2</v>
      </c>
      <c r="V4" s="10"/>
      <c r="W4" s="10" t="s">
        <v>12</v>
      </c>
      <c r="X4" s="7"/>
      <c r="Y4" s="7"/>
      <c r="Z4" s="7"/>
      <c r="AA4" s="7"/>
      <c r="AC4" s="12"/>
      <c r="AD4" s="12" t="s">
        <v>7</v>
      </c>
      <c r="AE4" s="12"/>
      <c r="AF4" s="12" t="s">
        <v>8</v>
      </c>
      <c r="AG4" s="12"/>
      <c r="AH4" s="12" t="s">
        <v>2</v>
      </c>
      <c r="AI4" s="12"/>
      <c r="AJ4" s="12" t="s">
        <v>12</v>
      </c>
      <c r="AL4" t="s">
        <v>63</v>
      </c>
    </row>
    <row r="5" spans="1:38" x14ac:dyDescent="0.35">
      <c r="A5">
        <v>5.05</v>
      </c>
      <c r="C5" t="s">
        <v>29</v>
      </c>
      <c r="E5" t="s">
        <v>31</v>
      </c>
      <c r="G5" t="s">
        <v>35</v>
      </c>
      <c r="I5" t="s">
        <v>33</v>
      </c>
      <c r="O5" s="11">
        <v>5.05</v>
      </c>
      <c r="P5" s="7"/>
      <c r="Q5" s="7">
        <v>8.4347099999999998E-3</v>
      </c>
      <c r="R5" s="7"/>
      <c r="S5" s="7">
        <v>8.7988849999999993E-2</v>
      </c>
      <c r="T5" s="7"/>
      <c r="U5" s="7">
        <v>505.74045294000001</v>
      </c>
      <c r="V5" s="7"/>
      <c r="W5" s="7">
        <v>10928162.4426478</v>
      </c>
      <c r="X5" s="7"/>
      <c r="Y5" s="7"/>
      <c r="Z5" s="7"/>
      <c r="AA5" s="7"/>
      <c r="AC5" s="13"/>
      <c r="AD5" s="13">
        <v>6.8592499999999999E-3</v>
      </c>
      <c r="AE5" s="13"/>
      <c r="AF5" s="13"/>
      <c r="AG5" s="13"/>
      <c r="AH5" s="13">
        <f>231.25192041</f>
        <v>231.25192041</v>
      </c>
      <c r="AI5" s="13"/>
      <c r="AJ5" s="13"/>
      <c r="AL5">
        <f>0.00514715</f>
        <v>5.1471499999999996E-3</v>
      </c>
    </row>
    <row r="6" spans="1:38" x14ac:dyDescent="0.35">
      <c r="A6">
        <v>7.05</v>
      </c>
      <c r="C6">
        <v>9.7669799999999998E-3</v>
      </c>
      <c r="E6">
        <v>8.4405969999999997E-2</v>
      </c>
      <c r="G6">
        <v>527.13419878000002</v>
      </c>
      <c r="I6">
        <v>13191429.3611039</v>
      </c>
      <c r="O6" s="11">
        <v>7.05</v>
      </c>
      <c r="P6" s="7"/>
      <c r="Q6" s="7">
        <v>9.7667199999999996E-3</v>
      </c>
      <c r="R6" s="7"/>
      <c r="S6" s="7">
        <v>8.6145360000000004E-2</v>
      </c>
      <c r="T6" s="7"/>
      <c r="U6" s="7">
        <v>532.80879039000001</v>
      </c>
      <c r="V6" s="7"/>
      <c r="W6" s="7">
        <v>12924739.6906968</v>
      </c>
      <c r="X6" s="7"/>
      <c r="Y6" s="7"/>
      <c r="Z6" s="7"/>
      <c r="AA6" s="7"/>
      <c r="AC6" s="13"/>
      <c r="AD6" s="13"/>
      <c r="AE6" s="13"/>
      <c r="AF6" s="13"/>
      <c r="AG6" s="13"/>
      <c r="AH6" s="13">
        <f>243.62446074</f>
        <v>243.62446073999999</v>
      </c>
      <c r="AI6" s="13"/>
      <c r="AJ6" s="13"/>
      <c r="AL6">
        <f>0.00357284</f>
        <v>3.5728399999999999E-3</v>
      </c>
    </row>
    <row r="7" spans="1:38" x14ac:dyDescent="0.35">
      <c r="A7">
        <v>9.0500000000000007</v>
      </c>
      <c r="C7">
        <v>1.142779E-2</v>
      </c>
      <c r="E7">
        <v>8.2333610000000002E-2</v>
      </c>
      <c r="G7">
        <v>556.19400212000005</v>
      </c>
      <c r="I7">
        <v>15823045.112766899</v>
      </c>
      <c r="O7" s="11">
        <v>9.0500000000000007</v>
      </c>
      <c r="P7" s="7"/>
      <c r="Q7" s="7">
        <v>1.142745E-2</v>
      </c>
      <c r="R7" s="7"/>
      <c r="S7" s="7">
        <v>8.403012E-2</v>
      </c>
      <c r="T7" s="7"/>
      <c r="U7" s="7">
        <v>562.17914838000002</v>
      </c>
      <c r="V7" s="7"/>
      <c r="W7" s="7">
        <v>15503121.006856199</v>
      </c>
      <c r="X7" s="7"/>
      <c r="Y7" s="7"/>
      <c r="Z7" s="7"/>
      <c r="AA7" s="7"/>
      <c r="AC7" s="13"/>
      <c r="AD7" s="13"/>
      <c r="AE7" s="13"/>
      <c r="AF7" s="13"/>
      <c r="AG7" s="13"/>
      <c r="AH7" s="13">
        <f>257.04103441</f>
        <v>257.04103441000001</v>
      </c>
      <c r="AI7" s="13"/>
      <c r="AJ7" s="13"/>
      <c r="AL7">
        <f>0.00269822</f>
        <v>2.6982199999999999E-3</v>
      </c>
    </row>
    <row r="8" spans="1:38" x14ac:dyDescent="0.35">
      <c r="A8">
        <v>11.05</v>
      </c>
      <c r="C8">
        <v>1.352911E-2</v>
      </c>
      <c r="E8">
        <v>7.9946660000000003E-2</v>
      </c>
      <c r="G8">
        <v>587.62862892999999</v>
      </c>
      <c r="I8">
        <v>19291852.121910699</v>
      </c>
      <c r="O8" s="11">
        <v>11.05</v>
      </c>
      <c r="P8" s="7"/>
      <c r="Q8" s="7">
        <v>1.352829E-2</v>
      </c>
      <c r="R8" s="7"/>
      <c r="S8" s="7">
        <v>8.1592739999999997E-2</v>
      </c>
      <c r="T8" s="7"/>
      <c r="U8" s="7">
        <v>593.93394261000003</v>
      </c>
      <c r="V8" s="7"/>
      <c r="W8" s="7">
        <v>18901504.689816602</v>
      </c>
      <c r="X8" s="7"/>
      <c r="Y8" s="7"/>
      <c r="Z8" s="7"/>
      <c r="AA8" s="7"/>
      <c r="AC8" s="13"/>
      <c r="AD8" s="13"/>
      <c r="AE8" s="13"/>
      <c r="AF8" s="13"/>
      <c r="AG8" s="13"/>
      <c r="AH8" s="13">
        <f>271.46189206</f>
        <v>271.46189206000003</v>
      </c>
      <c r="AI8" s="13"/>
      <c r="AJ8" s="13"/>
      <c r="AL8">
        <f>0.00467675</f>
        <v>4.6767500000000004E-3</v>
      </c>
    </row>
    <row r="9" spans="1:38" x14ac:dyDescent="0.35">
      <c r="A9">
        <v>13.05</v>
      </c>
      <c r="C9">
        <v>1.6249980000000001E-2</v>
      </c>
      <c r="E9">
        <v>7.7240180000000006E-2</v>
      </c>
      <c r="G9">
        <v>622.21096058000001</v>
      </c>
      <c r="I9">
        <v>23983608.077105101</v>
      </c>
      <c r="O9" s="11">
        <v>13.05</v>
      </c>
      <c r="P9" s="7"/>
      <c r="Q9" s="7">
        <v>1.624807E-2</v>
      </c>
      <c r="R9" s="7"/>
      <c r="S9" s="7">
        <v>7.8828289999999995E-2</v>
      </c>
      <c r="T9" s="7"/>
      <c r="U9" s="7">
        <v>628.85147456000004</v>
      </c>
      <c r="V9" s="7"/>
      <c r="W9" s="7">
        <v>23497658.425604001</v>
      </c>
      <c r="X9" s="7"/>
      <c r="Y9" s="7"/>
      <c r="Z9" s="7"/>
      <c r="AA9" s="7"/>
      <c r="AC9" s="13"/>
      <c r="AD9" s="13"/>
      <c r="AE9" s="13"/>
      <c r="AF9" s="13"/>
      <c r="AG9" s="13"/>
      <c r="AH9" s="13">
        <f>287.2270888</f>
        <v>287.22708879999999</v>
      </c>
      <c r="AI9" s="13"/>
      <c r="AJ9" s="13"/>
      <c r="AL9">
        <f>0.00710966</f>
        <v>7.1096600000000003E-3</v>
      </c>
    </row>
    <row r="10" spans="1:38" x14ac:dyDescent="0.35">
      <c r="A10">
        <v>15.05</v>
      </c>
      <c r="C10">
        <v>1.9869629999999999E-2</v>
      </c>
      <c r="E10">
        <v>7.4234049999999996E-2</v>
      </c>
      <c r="G10">
        <v>661.25039619999995</v>
      </c>
      <c r="I10">
        <v>30513461.0095734</v>
      </c>
      <c r="O10" s="11">
        <v>15.05</v>
      </c>
      <c r="P10" s="7"/>
      <c r="Q10" s="7">
        <v>1.986518E-2</v>
      </c>
      <c r="R10" s="7"/>
      <c r="S10" s="7">
        <v>7.5756320000000002E-2</v>
      </c>
      <c r="T10" s="7"/>
      <c r="U10" s="7">
        <v>668.23645605000002</v>
      </c>
      <c r="V10" s="7"/>
      <c r="W10" s="7">
        <v>29893614.869690198</v>
      </c>
      <c r="X10" s="7"/>
      <c r="Y10" s="7"/>
      <c r="Z10" s="7"/>
      <c r="AA10" s="7"/>
      <c r="AC10" s="13"/>
      <c r="AD10" s="13"/>
      <c r="AE10" s="13"/>
      <c r="AF10" s="13"/>
      <c r="AG10" s="13"/>
      <c r="AH10" s="13">
        <f xml:space="preserve"> 304.83190426</f>
        <v>304.83190425999999</v>
      </c>
      <c r="AI10" s="13"/>
      <c r="AJ10" s="13"/>
      <c r="AL10">
        <f>0.00995626</f>
        <v>9.9562599999999998E-3</v>
      </c>
    </row>
    <row r="11" spans="1:38" x14ac:dyDescent="0.35">
      <c r="A11">
        <v>17.05</v>
      </c>
      <c r="C11">
        <v>2.4854560000000001E-2</v>
      </c>
      <c r="E11">
        <v>7.1036080000000001E-2</v>
      </c>
      <c r="G11">
        <v>707.70133310000006</v>
      </c>
      <c r="I11">
        <v>39887054.8749668</v>
      </c>
      <c r="O11" s="11">
        <v>17.05</v>
      </c>
      <c r="P11" s="7"/>
      <c r="Q11" s="7">
        <v>2.4843919999999999E-2</v>
      </c>
      <c r="R11" s="7"/>
      <c r="S11" s="7">
        <v>7.2485380000000002E-2</v>
      </c>
      <c r="T11" s="7"/>
      <c r="U11" s="7">
        <v>715.03217801000005</v>
      </c>
      <c r="V11" s="7"/>
      <c r="W11" s="7">
        <v>39072806.945548698</v>
      </c>
      <c r="X11" s="7"/>
      <c r="Y11" s="7"/>
      <c r="Z11" s="7"/>
      <c r="AA11" s="7"/>
      <c r="AC11" s="13"/>
      <c r="AD11" s="13"/>
      <c r="AE11" s="13"/>
      <c r="AF11" s="13"/>
      <c r="AG11" s="13"/>
      <c r="AH11" s="13">
        <f xml:space="preserve"> 325.39081024</f>
        <v>325.39081024000001</v>
      </c>
      <c r="AI11" s="13"/>
      <c r="AJ11" s="13"/>
      <c r="AL11">
        <f xml:space="preserve"> 0.01318493</f>
        <v>1.3184929999999999E-2</v>
      </c>
    </row>
    <row r="12" spans="1:38" x14ac:dyDescent="0.35">
      <c r="A12">
        <v>19.05</v>
      </c>
      <c r="C12" t="s">
        <v>30</v>
      </c>
      <c r="E12" t="s">
        <v>32</v>
      </c>
      <c r="G12" t="s">
        <v>36</v>
      </c>
      <c r="I12" t="s">
        <v>34</v>
      </c>
      <c r="O12" s="11">
        <v>19.05</v>
      </c>
      <c r="P12" s="7"/>
      <c r="Q12" s="7">
        <v>3.2006399999999997E-2</v>
      </c>
      <c r="R12" s="7"/>
      <c r="S12" s="7">
        <v>6.93352E-2</v>
      </c>
      <c r="T12" s="7"/>
      <c r="U12" s="7">
        <v>776.31382124000004</v>
      </c>
      <c r="V12" s="7"/>
      <c r="W12" s="7">
        <v>52624495.356793597</v>
      </c>
      <c r="X12" s="7"/>
      <c r="Y12" s="7"/>
      <c r="Z12" s="7"/>
      <c r="AA12" s="7"/>
      <c r="AC12" s="13"/>
      <c r="AD12" s="13"/>
      <c r="AE12" s="13"/>
      <c r="AF12" s="13"/>
      <c r="AG12" s="13"/>
      <c r="AH12" s="13">
        <f xml:space="preserve"> 351.52361049</f>
        <v>351.52361049000001</v>
      </c>
      <c r="AI12" s="13"/>
      <c r="AJ12" s="13"/>
      <c r="AL12">
        <f xml:space="preserve"> 0.01679212</f>
        <v>1.6792120000000001E-2</v>
      </c>
    </row>
    <row r="13" spans="1:38" x14ac:dyDescent="0.35">
      <c r="O13" s="11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C13" s="13"/>
      <c r="AD13" s="13"/>
      <c r="AE13" s="13"/>
      <c r="AF13" s="13"/>
      <c r="AG13" s="13"/>
      <c r="AH13" s="13"/>
      <c r="AI13" s="13"/>
      <c r="AJ13" s="13"/>
    </row>
    <row r="14" spans="1:38" x14ac:dyDescent="0.35">
      <c r="O14" s="11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C14" s="13"/>
      <c r="AD14" s="13"/>
      <c r="AE14" s="13"/>
      <c r="AF14" s="13"/>
      <c r="AG14" s="13"/>
      <c r="AH14" s="13"/>
      <c r="AI14" s="13"/>
      <c r="AJ14" s="13"/>
    </row>
    <row r="15" spans="1:38" x14ac:dyDescent="0.35">
      <c r="C15" s="1" t="s">
        <v>9</v>
      </c>
      <c r="D15" s="1"/>
      <c r="E15" s="1" t="s">
        <v>11</v>
      </c>
      <c r="F15" s="1"/>
      <c r="H15" s="1" t="s">
        <v>3</v>
      </c>
      <c r="I15" s="1" t="s">
        <v>4</v>
      </c>
      <c r="L15" s="1" t="s">
        <v>67</v>
      </c>
      <c r="M15" s="1" t="s">
        <v>66</v>
      </c>
      <c r="O15" s="11"/>
      <c r="P15" s="7"/>
      <c r="Q15" s="10" t="s">
        <v>9</v>
      </c>
      <c r="R15" s="10"/>
      <c r="S15" s="10" t="s">
        <v>11</v>
      </c>
      <c r="T15" s="10"/>
      <c r="U15" s="10" t="s">
        <v>3</v>
      </c>
      <c r="V15" s="10"/>
      <c r="W15" s="10" t="s">
        <v>4</v>
      </c>
      <c r="X15" s="7"/>
      <c r="Y15" s="7"/>
      <c r="Z15" s="7"/>
      <c r="AA15" s="7"/>
      <c r="AC15" s="13"/>
      <c r="AD15" s="12" t="s">
        <v>9</v>
      </c>
      <c r="AE15" s="12"/>
      <c r="AF15" s="12" t="s">
        <v>11</v>
      </c>
      <c r="AG15" s="12"/>
      <c r="AI15" s="12" t="s">
        <v>3</v>
      </c>
      <c r="AK15" s="12" t="s">
        <v>4</v>
      </c>
    </row>
    <row r="16" spans="1:38" x14ac:dyDescent="0.35">
      <c r="C16">
        <v>3036.7344430098101</v>
      </c>
      <c r="E16">
        <v>9696.6017812699993</v>
      </c>
      <c r="G16" s="18">
        <v>26489.81032877</v>
      </c>
      <c r="H16">
        <f t="shared" ref="H16:H23" si="0">G16-$AD$86+$AD$64</f>
        <v>30502.234797765144</v>
      </c>
      <c r="I16" s="18">
        <v>51920.028244399997</v>
      </c>
      <c r="J16">
        <f t="shared" ref="J16:J23" si="1">I16+($AD$64- $AD$86)*1.96</f>
        <v>59784.380203630484</v>
      </c>
      <c r="L16">
        <f>(MAX(E16,E38)+K49)</f>
        <v>13483.869619669746</v>
      </c>
      <c r="M16">
        <f>L16*1.96</f>
        <v>26428.384454552703</v>
      </c>
      <c r="O16" s="11"/>
      <c r="P16" s="7"/>
      <c r="Q16" s="7">
        <v>3036.7344430098101</v>
      </c>
      <c r="R16" s="7"/>
      <c r="S16" s="7">
        <v>9695.8347482200006</v>
      </c>
      <c r="T16" s="7"/>
      <c r="U16" s="19">
        <v>26488.251621809999</v>
      </c>
      <c r="V16" s="13">
        <f t="shared" ref="V16:V23" si="2">U16-$AD$86+$AD$64</f>
        <v>30500.676090805144</v>
      </c>
      <c r="W16" s="19">
        <v>51916.973178749999</v>
      </c>
      <c r="X16">
        <f t="shared" ref="X16:X23" si="3">W16+($AD$64- $AD$86)*1.96</f>
        <v>59781.325137980486</v>
      </c>
      <c r="AC16" s="13"/>
      <c r="AD16" s="13">
        <v>3036.7344430098101</v>
      </c>
      <c r="AE16" s="13"/>
      <c r="AF16" s="13">
        <v>9672.0412305000009</v>
      </c>
      <c r="AG16" s="13"/>
      <c r="AH16" s="15">
        <f>26253.75498973</f>
        <v>26253.754989730001</v>
      </c>
      <c r="AI16" s="13">
        <f t="shared" ref="AI16:AI23" si="4">AH16-$AD$86+$AD$64</f>
        <v>30266.179458725146</v>
      </c>
      <c r="AJ16" s="15">
        <f>51457.35977987</f>
        <v>51457.359779869999</v>
      </c>
      <c r="AK16">
        <f t="shared" ref="AK16:AK23" si="5">AJ16+($AD$64- $AD$86)*1.96</f>
        <v>59321.711739100487</v>
      </c>
    </row>
    <row r="17" spans="1:43" x14ac:dyDescent="0.35">
      <c r="E17">
        <v>6736.71207486</v>
      </c>
      <c r="G17" s="18">
        <v>20623.59249531</v>
      </c>
      <c r="H17">
        <f t="shared" si="0"/>
        <v>24636.016964305145</v>
      </c>
      <c r="I17" s="18">
        <v>40422.241290799997</v>
      </c>
      <c r="J17">
        <f t="shared" si="1"/>
        <v>48286.593250030484</v>
      </c>
      <c r="L17">
        <f t="shared" ref="L17:L23" si="6">(MAX(E17,E39)+K50)</f>
        <v>10111.345366024287</v>
      </c>
      <c r="M17">
        <f t="shared" ref="M17:M23" si="7">L17*1.96</f>
        <v>19818.236917407601</v>
      </c>
      <c r="O17" s="11"/>
      <c r="P17" s="7"/>
      <c r="Q17" s="7"/>
      <c r="R17" s="7"/>
      <c r="S17" s="7">
        <v>6735.8486256899996</v>
      </c>
      <c r="T17" s="7"/>
      <c r="U17" s="19">
        <v>20621.838080050002</v>
      </c>
      <c r="V17" s="13">
        <f t="shared" si="2"/>
        <v>24634.262549045146</v>
      </c>
      <c r="W17" s="19">
        <v>40418.802636890003</v>
      </c>
      <c r="X17">
        <f t="shared" si="3"/>
        <v>48283.15459612049</v>
      </c>
      <c r="AC17" s="13"/>
      <c r="AD17" s="13"/>
      <c r="AE17" s="13"/>
      <c r="AF17" s="13">
        <f>6713.74137516</f>
        <v>6713.7413751599997</v>
      </c>
      <c r="AG17" s="13"/>
      <c r="AH17" s="15">
        <f>20380.69409182</f>
        <v>20380.694091820002</v>
      </c>
      <c r="AI17" s="13">
        <f t="shared" si="4"/>
        <v>24393.118560815146</v>
      </c>
      <c r="AJ17" s="15">
        <f>39946.16041997</f>
        <v>39946.160419970001</v>
      </c>
      <c r="AK17">
        <f t="shared" si="5"/>
        <v>47810.512379200489</v>
      </c>
    </row>
    <row r="18" spans="1:43" x14ac:dyDescent="0.35">
      <c r="E18">
        <v>5077.8864034500002</v>
      </c>
      <c r="G18" s="18">
        <v>17364.060759169999</v>
      </c>
      <c r="H18">
        <f t="shared" si="0"/>
        <v>21376.485228165144</v>
      </c>
      <c r="I18" s="18">
        <v>34033.559087970003</v>
      </c>
      <c r="J18">
        <f t="shared" si="1"/>
        <v>41897.91104720049</v>
      </c>
      <c r="L18" s="20">
        <f>(MAX(E18,E40)+K51)</f>
        <v>10026.139988756593</v>
      </c>
      <c r="M18" s="20">
        <f t="shared" si="7"/>
        <v>19651.234377962923</v>
      </c>
      <c r="O18" s="11"/>
      <c r="P18" s="7"/>
      <c r="Q18" s="7"/>
      <c r="R18" s="7"/>
      <c r="S18" s="7">
        <v>5077.8864034600001</v>
      </c>
      <c r="T18" s="7"/>
      <c r="U18" s="19">
        <v>17364.027226480001</v>
      </c>
      <c r="V18" s="13">
        <f t="shared" si="2"/>
        <v>21376.451695475145</v>
      </c>
      <c r="W18" s="19">
        <v>34033.493363900001</v>
      </c>
      <c r="X18">
        <f t="shared" si="3"/>
        <v>41897.845323130488</v>
      </c>
      <c r="AC18" s="13"/>
      <c r="AD18" s="13"/>
      <c r="AE18" s="13"/>
      <c r="AF18" s="13">
        <f>5070.23417965</f>
        <v>5070.2341796500004</v>
      </c>
      <c r="AG18" s="13"/>
      <c r="AH18" s="15">
        <f>17140.89245373</f>
        <v>17140.892453730001</v>
      </c>
      <c r="AI18" s="13">
        <f t="shared" si="4"/>
        <v>21153.316922725146</v>
      </c>
      <c r="AJ18" s="15">
        <f>33596.14920932</f>
        <v>33596.149209319999</v>
      </c>
      <c r="AK18">
        <f t="shared" si="5"/>
        <v>41460.501168550487</v>
      </c>
    </row>
    <row r="19" spans="1:43" x14ac:dyDescent="0.35">
      <c r="C19" s="1" t="s">
        <v>10</v>
      </c>
      <c r="E19">
        <v>8799.3998384499992</v>
      </c>
      <c r="G19" s="18">
        <v>24869.956882779999</v>
      </c>
      <c r="H19">
        <f t="shared" si="0"/>
        <v>28882.381351775144</v>
      </c>
      <c r="I19" s="18">
        <v>48745.115490249998</v>
      </c>
      <c r="J19">
        <f t="shared" si="1"/>
        <v>56609.467449480486</v>
      </c>
      <c r="L19">
        <f t="shared" si="6"/>
        <v>13966.631498172284</v>
      </c>
      <c r="M19">
        <f t="shared" si="7"/>
        <v>27374.597736417676</v>
      </c>
      <c r="O19" s="11"/>
      <c r="P19" s="7"/>
      <c r="Q19" s="10" t="s">
        <v>10</v>
      </c>
      <c r="R19" s="7"/>
      <c r="S19" s="7">
        <v>8799.3998384499992</v>
      </c>
      <c r="T19" s="7"/>
      <c r="U19" s="19">
        <v>24869.885646610001</v>
      </c>
      <c r="V19" s="13">
        <f t="shared" si="2"/>
        <v>28882.310115605145</v>
      </c>
      <c r="W19" s="19">
        <v>48744.975867349996</v>
      </c>
      <c r="X19">
        <f t="shared" si="3"/>
        <v>56609.327826580484</v>
      </c>
      <c r="AC19" s="13"/>
      <c r="AD19" s="13" t="s">
        <v>10</v>
      </c>
      <c r="AE19" s="13"/>
      <c r="AF19" s="13">
        <f>8788.10782713</f>
        <v>8788.1078271299994</v>
      </c>
      <c r="AG19" s="13"/>
      <c r="AH19" s="15">
        <f>24627.38656423</f>
        <v>24627.386564230001</v>
      </c>
      <c r="AI19" s="13">
        <f t="shared" si="4"/>
        <v>28639.811033225145</v>
      </c>
      <c r="AJ19" s="15">
        <f>48269.67766589</f>
        <v>48269.677665889998</v>
      </c>
      <c r="AK19">
        <f t="shared" si="5"/>
        <v>56134.029625120485</v>
      </c>
    </row>
    <row r="20" spans="1:43" x14ac:dyDescent="0.35">
      <c r="C20">
        <v>11.215531004854901</v>
      </c>
      <c r="E20">
        <v>13375.63019854</v>
      </c>
      <c r="G20" s="18">
        <v>34091.582266270001</v>
      </c>
      <c r="H20">
        <f t="shared" si="0"/>
        <v>38104.006735265146</v>
      </c>
      <c r="I20" s="18">
        <v>66819.501241890001</v>
      </c>
      <c r="J20">
        <f t="shared" si="1"/>
        <v>74683.853201120481</v>
      </c>
      <c r="L20">
        <f t="shared" si="6"/>
        <v>18762.410702752441</v>
      </c>
      <c r="M20">
        <f t="shared" si="7"/>
        <v>36774.324977394783</v>
      </c>
      <c r="O20" s="11"/>
      <c r="P20" s="7"/>
      <c r="Q20" s="7">
        <v>11.215531004854901</v>
      </c>
      <c r="R20" s="7"/>
      <c r="S20" s="7">
        <v>13375.63019854</v>
      </c>
      <c r="T20" s="7"/>
      <c r="U20" s="19">
        <v>34091.435860600002</v>
      </c>
      <c r="V20" s="13">
        <f t="shared" si="2"/>
        <v>38103.860329595147</v>
      </c>
      <c r="W20" s="19">
        <v>66819.214286779999</v>
      </c>
      <c r="X20">
        <f t="shared" si="3"/>
        <v>74683.56624601048</v>
      </c>
      <c r="AC20" s="13"/>
      <c r="AD20" s="13">
        <v>4023.64</v>
      </c>
      <c r="AE20" s="13"/>
      <c r="AF20" s="13">
        <f xml:space="preserve"> 13359.79235703</f>
        <v>13359.792357030001</v>
      </c>
      <c r="AG20" s="13"/>
      <c r="AH20" s="15">
        <f xml:space="preserve"> 33826.23315181</f>
        <v>33826.233151810004</v>
      </c>
      <c r="AI20" s="13">
        <f t="shared" si="4"/>
        <v>37838.657620805148</v>
      </c>
      <c r="AJ20" s="15">
        <f>66299.41697754</f>
        <v>66299.416977539993</v>
      </c>
      <c r="AK20">
        <f t="shared" si="5"/>
        <v>74163.768936770473</v>
      </c>
    </row>
    <row r="21" spans="1:43" x14ac:dyDescent="0.35">
      <c r="E21">
        <v>18730.007555190001</v>
      </c>
      <c r="G21" s="18">
        <v>44878.415850810001</v>
      </c>
      <c r="H21">
        <f t="shared" si="0"/>
        <v>48890.840319805146</v>
      </c>
      <c r="I21" s="18">
        <v>87961.695067580004</v>
      </c>
      <c r="J21">
        <f t="shared" si="1"/>
        <v>95826.047026810484</v>
      </c>
      <c r="L21">
        <f t="shared" si="6"/>
        <v>24262.563414191776</v>
      </c>
      <c r="M21">
        <f t="shared" si="7"/>
        <v>47554.624291815882</v>
      </c>
      <c r="O21" s="11"/>
      <c r="P21" s="7"/>
      <c r="Q21" s="7"/>
      <c r="R21" s="7"/>
      <c r="S21" s="7">
        <v>18730.007555190001</v>
      </c>
      <c r="T21" s="7"/>
      <c r="U21" s="19">
        <v>44878.119576420002</v>
      </c>
      <c r="V21" s="13">
        <f t="shared" si="2"/>
        <v>48890.544045415147</v>
      </c>
      <c r="W21" s="19">
        <v>87961.11436978</v>
      </c>
      <c r="X21">
        <f t="shared" si="3"/>
        <v>95825.46632901048</v>
      </c>
      <c r="AC21" s="13"/>
      <c r="AD21" s="13"/>
      <c r="AE21" s="13"/>
      <c r="AF21" s="13">
        <f xml:space="preserve"> 18708.85967355</f>
        <v>18708.85967355</v>
      </c>
      <c r="AG21" s="13"/>
      <c r="AH21" s="15">
        <f xml:space="preserve"> 44586.31890758</f>
        <v>44586.318907579996</v>
      </c>
      <c r="AI21" s="13">
        <f t="shared" si="4"/>
        <v>48598.743376575141</v>
      </c>
      <c r="AJ21" s="15">
        <f>87389.18505885</f>
        <v>87389.185058849995</v>
      </c>
      <c r="AK21">
        <f t="shared" si="5"/>
        <v>95253.537018080475</v>
      </c>
    </row>
    <row r="22" spans="1:43" x14ac:dyDescent="0.35">
      <c r="E22">
        <v>24803.185652690001</v>
      </c>
      <c r="G22" s="18">
        <v>57117.673919610002</v>
      </c>
      <c r="H22">
        <f t="shared" si="0"/>
        <v>61130.098388605147</v>
      </c>
      <c r="I22" s="18">
        <v>111950.64088243</v>
      </c>
      <c r="J22">
        <f t="shared" si="1"/>
        <v>119814.99284166048</v>
      </c>
      <c r="L22">
        <f t="shared" si="6"/>
        <v>30393.801759146165</v>
      </c>
      <c r="M22">
        <f t="shared" si="7"/>
        <v>59571.851447926485</v>
      </c>
      <c r="O22" s="11"/>
      <c r="P22" s="7"/>
      <c r="Q22" s="7"/>
      <c r="R22" s="7"/>
      <c r="S22" s="7">
        <v>24803.185652690001</v>
      </c>
      <c r="T22" s="7"/>
      <c r="U22" s="19">
        <v>57117.06801843</v>
      </c>
      <c r="V22" s="13">
        <f t="shared" si="2"/>
        <v>61129.492487425145</v>
      </c>
      <c r="W22" s="19">
        <v>111949.45331613001</v>
      </c>
      <c r="X22">
        <f t="shared" si="3"/>
        <v>119813.80527536049</v>
      </c>
      <c r="AC22" s="13"/>
      <c r="AD22" s="13"/>
      <c r="AE22" s="13"/>
      <c r="AF22" s="13">
        <f>24775.87027689</f>
        <v>24775.87027689</v>
      </c>
      <c r="AG22" s="13"/>
      <c r="AH22" s="15">
        <f xml:space="preserve"> 56792.68664418</f>
        <v>56792.686644180001</v>
      </c>
      <c r="AI22" s="13">
        <f t="shared" si="4"/>
        <v>60805.111113175146</v>
      </c>
      <c r="AJ22" s="15">
        <f xml:space="preserve"> 111313.66582259</f>
        <v>111313.66582259</v>
      </c>
      <c r="AK22">
        <f t="shared" si="5"/>
        <v>119178.01778182048</v>
      </c>
    </row>
    <row r="23" spans="1:43" x14ac:dyDescent="0.35">
      <c r="E23">
        <v>31588.541133070001</v>
      </c>
      <c r="G23" s="18">
        <v>70810.335268680006</v>
      </c>
      <c r="H23">
        <f t="shared" si="0"/>
        <v>74822.759737675151</v>
      </c>
      <c r="I23" s="18">
        <v>138788.25712661</v>
      </c>
      <c r="J23">
        <f t="shared" si="1"/>
        <v>146652.60908584049</v>
      </c>
      <c r="L23">
        <f t="shared" si="6"/>
        <v>37127.960472746956</v>
      </c>
      <c r="M23">
        <f t="shared" si="7"/>
        <v>72770.802526584026</v>
      </c>
      <c r="O23" s="11"/>
      <c r="P23" s="7"/>
      <c r="Q23" s="7"/>
      <c r="R23" s="7"/>
      <c r="S23" s="7">
        <v>31588.541133070001</v>
      </c>
      <c r="T23" s="7"/>
      <c r="U23" s="19">
        <v>70809.033760830003</v>
      </c>
      <c r="V23" s="13">
        <f t="shared" si="2"/>
        <v>74821.458229825148</v>
      </c>
      <c r="W23" s="19">
        <v>138785.70617121999</v>
      </c>
      <c r="X23">
        <f t="shared" si="3"/>
        <v>146650.05813045049</v>
      </c>
      <c r="AC23" s="13"/>
      <c r="AD23" s="13"/>
      <c r="AE23" s="13"/>
      <c r="AF23" s="13">
        <f xml:space="preserve"> 31554.1582016</f>
        <v>31554.158201599999</v>
      </c>
      <c r="AG23" s="13"/>
      <c r="AH23" s="15">
        <f xml:space="preserve"> 70441.2234869</f>
        <v>70441.223486899995</v>
      </c>
      <c r="AI23" s="13">
        <f t="shared" si="4"/>
        <v>74453.64795589514</v>
      </c>
      <c r="AJ23" s="15">
        <f>138064.79803433</f>
        <v>138064.79803432999</v>
      </c>
      <c r="AK23">
        <f t="shared" si="5"/>
        <v>145929.14999356048</v>
      </c>
    </row>
    <row r="24" spans="1:43" x14ac:dyDescent="0.35">
      <c r="O24" s="1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C24" s="7"/>
    </row>
    <row r="25" spans="1:43" ht="18.5" x14ac:dyDescent="0.45">
      <c r="A25" s="2" t="s">
        <v>15</v>
      </c>
      <c r="B25" s="2" t="s">
        <v>19</v>
      </c>
      <c r="O25" s="5" t="s">
        <v>15</v>
      </c>
      <c r="P25" s="8" t="s">
        <v>19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1" t="s">
        <v>15</v>
      </c>
      <c r="AC25" s="12" t="s">
        <v>64</v>
      </c>
      <c r="AD25" s="13"/>
      <c r="AE25" s="13"/>
      <c r="AF25" s="13"/>
      <c r="AG25" s="13"/>
      <c r="AH25" s="13"/>
      <c r="AI25" s="13"/>
      <c r="AJ25" s="13"/>
    </row>
    <row r="26" spans="1:43" x14ac:dyDescent="0.35">
      <c r="A26" s="1" t="s">
        <v>1</v>
      </c>
      <c r="B26" s="1"/>
      <c r="C26" s="1" t="s">
        <v>7</v>
      </c>
      <c r="D26" s="1"/>
      <c r="E26" s="1" t="s">
        <v>8</v>
      </c>
      <c r="F26" s="1"/>
      <c r="G26" s="1" t="s">
        <v>2</v>
      </c>
      <c r="H26" s="1"/>
      <c r="I26" s="1" t="s">
        <v>12</v>
      </c>
      <c r="O26" s="9" t="s">
        <v>1</v>
      </c>
      <c r="P26" s="10"/>
      <c r="Q26" s="10" t="s">
        <v>7</v>
      </c>
      <c r="R26" s="10"/>
      <c r="S26" s="10" t="s">
        <v>8</v>
      </c>
      <c r="T26" s="10"/>
      <c r="U26" s="10" t="s">
        <v>2</v>
      </c>
      <c r="V26" s="10"/>
      <c r="W26" s="10" t="s">
        <v>12</v>
      </c>
      <c r="X26" s="7"/>
      <c r="Y26" s="10" t="s">
        <v>65</v>
      </c>
      <c r="Z26" s="25" t="s">
        <v>66</v>
      </c>
      <c r="AA26" s="25" t="s">
        <v>67</v>
      </c>
      <c r="AC26" s="12"/>
      <c r="AD26" s="12" t="s">
        <v>7</v>
      </c>
      <c r="AE26" s="12"/>
      <c r="AF26" s="12" t="s">
        <v>8</v>
      </c>
      <c r="AG26" s="12"/>
      <c r="AI26" s="12" t="s">
        <v>2</v>
      </c>
      <c r="AJ26" s="12" t="s">
        <v>12</v>
      </c>
      <c r="AL26" t="s">
        <v>63</v>
      </c>
      <c r="AO26" s="10" t="s">
        <v>65</v>
      </c>
      <c r="AP26" s="25" t="s">
        <v>66</v>
      </c>
      <c r="AQ26" s="25" t="s">
        <v>67</v>
      </c>
    </row>
    <row r="27" spans="1:43" x14ac:dyDescent="0.35">
      <c r="A27">
        <v>5.05</v>
      </c>
      <c r="C27" t="s">
        <v>22</v>
      </c>
      <c r="E27" t="s">
        <v>24</v>
      </c>
      <c r="G27" t="s">
        <v>27</v>
      </c>
      <c r="I27" t="s">
        <v>26</v>
      </c>
      <c r="O27" s="11">
        <v>5.05</v>
      </c>
      <c r="P27" s="7"/>
      <c r="Q27" s="7" t="s">
        <v>39</v>
      </c>
      <c r="R27" s="7"/>
      <c r="S27" s="7" t="s">
        <v>41</v>
      </c>
      <c r="T27" s="7"/>
      <c r="U27" s="7" t="s">
        <v>45</v>
      </c>
      <c r="V27" s="7"/>
      <c r="W27" s="7" t="s">
        <v>43</v>
      </c>
      <c r="X27" s="7"/>
      <c r="Y27" s="7">
        <f>(MAX(S16,S38))</f>
        <v>9695.8347482200006</v>
      </c>
      <c r="Z27" s="7">
        <f>Y27*1.96 + U49*3.7</f>
        <v>33460.209554404202</v>
      </c>
      <c r="AA27" s="7">
        <f>Y27+U49</f>
        <v>13602.96270711</v>
      </c>
      <c r="AC27" s="13"/>
      <c r="AD27" s="13">
        <f>0.0074151</f>
        <v>7.4151E-3</v>
      </c>
      <c r="AE27" s="13"/>
      <c r="AF27" s="13">
        <f>0.10006719</f>
        <v>0.10006719</v>
      </c>
      <c r="AG27" s="13"/>
      <c r="AH27" s="15">
        <f>3373.65160937</f>
        <v>3373.6516093700002</v>
      </c>
      <c r="AI27" s="13">
        <f>AH27*AD27/AF27</f>
        <v>249.99167108259451</v>
      </c>
      <c r="AJ27" s="13"/>
      <c r="AL27">
        <f>0.0047243</f>
        <v>4.7242999999999999E-3</v>
      </c>
      <c r="AO27">
        <f>MAX(AF16,AF38)</f>
        <v>9672.0412305000009</v>
      </c>
      <c r="AP27">
        <f>AO27*1.96 + AH49*35.2</f>
        <v>103689.57490826001</v>
      </c>
      <c r="AQ27">
        <f>AO27+AH49</f>
        <v>12079.210949150001</v>
      </c>
    </row>
    <row r="28" spans="1:43" x14ac:dyDescent="0.35">
      <c r="A28">
        <v>7.05</v>
      </c>
      <c r="C28">
        <v>1.0537990000000001E-2</v>
      </c>
      <c r="E28">
        <v>8.7674219999999997E-2</v>
      </c>
      <c r="G28">
        <v>568.74638225000001</v>
      </c>
      <c r="I28">
        <v>13702208.869509799</v>
      </c>
      <c r="O28" s="11">
        <v>7.05</v>
      </c>
      <c r="P28" s="7"/>
      <c r="Q28" s="7">
        <v>1.053776E-2</v>
      </c>
      <c r="R28" s="7"/>
      <c r="S28" s="7">
        <v>8.9481160000000004E-2</v>
      </c>
      <c r="T28" s="7"/>
      <c r="U28" s="7">
        <v>574.87161680999998</v>
      </c>
      <c r="V28" s="7"/>
      <c r="W28" s="7">
        <v>13425224.218234301</v>
      </c>
      <c r="X28" s="7"/>
      <c r="Y28" s="7">
        <f>(MAX(S17,S39))</f>
        <v>6735.8486256899996</v>
      </c>
      <c r="Z28" s="7">
        <f t="shared" ref="Z28:Z34" si="8">Y28*1.96 + U50*3.7</f>
        <v>26083.563331133402</v>
      </c>
      <c r="AA28" s="7">
        <f t="shared" ref="AA28:AA34" si="9">Y28+U50</f>
        <v>10217.281064819999</v>
      </c>
      <c r="AC28" s="13"/>
      <c r="AD28" s="13">
        <f xml:space="preserve"> 0.00857045</f>
        <v>8.5704500000000003E-3</v>
      </c>
      <c r="AE28" s="13"/>
      <c r="AF28" s="13">
        <f>0.09788133</f>
        <v>9.7881330000000003E-2</v>
      </c>
      <c r="AG28" s="13"/>
      <c r="AH28" s="15">
        <f>3002.4318985</f>
        <v>3002.4318985</v>
      </c>
      <c r="AI28" s="13">
        <f t="shared" ref="AI28:AI34" si="10">AH28*AD28/AF28</f>
        <v>262.8917329229111</v>
      </c>
      <c r="AJ28" s="13"/>
      <c r="AL28">
        <f xml:space="preserve"> 0.00296922</f>
        <v>2.9692199999999998E-3</v>
      </c>
      <c r="AO28">
        <f>MAX(AF17,AF39)</f>
        <v>6713.7413751599997</v>
      </c>
      <c r="AP28">
        <f t="shared" ref="AP28:AP34" si="11">AO28*1.96 + AH50*35.2</f>
        <v>88660.423800657605</v>
      </c>
      <c r="AQ28" s="20">
        <f t="shared" ref="AQ28:AQ34" si="12">AO28+AH50</f>
        <v>8858.6700883800004</v>
      </c>
    </row>
    <row r="29" spans="1:43" x14ac:dyDescent="0.35">
      <c r="A29">
        <v>9.0500000000000007</v>
      </c>
      <c r="C29">
        <v>1.2300149999999999E-2</v>
      </c>
      <c r="E29">
        <v>8.5418350000000004E-2</v>
      </c>
      <c r="G29">
        <v>598.65185385999996</v>
      </c>
      <c r="I29">
        <v>16415876.703999501</v>
      </c>
      <c r="O29" s="11">
        <v>9.0500000000000007</v>
      </c>
      <c r="P29" s="7"/>
      <c r="Q29" s="7">
        <v>1.229972E-2</v>
      </c>
      <c r="R29" s="7"/>
      <c r="S29" s="7">
        <v>8.7178229999999995E-2</v>
      </c>
      <c r="T29" s="7"/>
      <c r="U29" s="7">
        <v>605.09116169000004</v>
      </c>
      <c r="V29" s="7"/>
      <c r="W29" s="7">
        <v>16083930.0227693</v>
      </c>
      <c r="X29" s="7"/>
      <c r="Y29" s="22">
        <f>(MAX(S18,S40))</f>
        <v>7056.5060416099996</v>
      </c>
      <c r="Z29" s="22">
        <f t="shared" si="8"/>
        <v>25166.1512597986</v>
      </c>
      <c r="AA29" s="22">
        <f t="shared" si="9"/>
        <v>10120.127505999999</v>
      </c>
      <c r="AC29" s="13"/>
      <c r="AD29" s="13">
        <f>0.01000186</f>
        <v>1.000186E-2</v>
      </c>
      <c r="AE29" s="13"/>
      <c r="AF29" s="13">
        <f>0.09535455</f>
        <v>9.5354549999999996E-2</v>
      </c>
      <c r="AG29" s="13"/>
      <c r="AH29" s="15">
        <f xml:space="preserve"> 2637.65280935</f>
        <v>2637.6528093500001</v>
      </c>
      <c r="AI29" s="13">
        <f t="shared" si="10"/>
        <v>276.66675714714603</v>
      </c>
      <c r="AJ29" s="13"/>
      <c r="AL29">
        <f xml:space="preserve"> 0.00375119</f>
        <v>3.7511900000000002E-3</v>
      </c>
      <c r="AO29">
        <f t="shared" ref="AO29:AO34" si="13">MAX(AF18,AF40)</f>
        <v>7048.8759382899998</v>
      </c>
      <c r="AP29">
        <f t="shared" si="11"/>
        <v>80257.205199496399</v>
      </c>
      <c r="AQ29">
        <f t="shared" si="12"/>
        <v>8936.4159485300006</v>
      </c>
    </row>
    <row r="30" spans="1:43" x14ac:dyDescent="0.35">
      <c r="A30">
        <v>11.05</v>
      </c>
      <c r="C30">
        <v>1.452346E-2</v>
      </c>
      <c r="E30">
        <v>8.283248E-2</v>
      </c>
      <c r="G30">
        <v>630.81742611000004</v>
      </c>
      <c r="I30">
        <v>19988227.885399502</v>
      </c>
      <c r="O30" s="11">
        <v>11.05</v>
      </c>
      <c r="P30" s="7"/>
      <c r="Q30" s="7">
        <v>1.4522470000000001E-2</v>
      </c>
      <c r="R30" s="7"/>
      <c r="S30" s="7">
        <v>8.4537650000000006E-2</v>
      </c>
      <c r="T30" s="7"/>
      <c r="U30" s="7">
        <v>637.58111957000006</v>
      </c>
      <c r="V30" s="7"/>
      <c r="W30" s="7">
        <v>19583712.718834199</v>
      </c>
      <c r="X30" s="7"/>
      <c r="Y30" s="7">
        <f t="shared" ref="Y30:Y34" si="14">(MAX(S19,S41))</f>
        <v>11390.459220090001</v>
      </c>
      <c r="Z30" s="7">
        <f t="shared" si="8"/>
        <v>32158.9643588404</v>
      </c>
      <c r="AA30" s="7">
        <f t="shared" si="9"/>
        <v>14048.20632481</v>
      </c>
      <c r="AC30" s="13"/>
      <c r="AD30" s="13">
        <f>0.01180458</f>
        <v>1.180458E-2</v>
      </c>
      <c r="AE30" s="13"/>
      <c r="AF30" s="13">
        <f>0.09244764</f>
        <v>9.2447639999999998E-2</v>
      </c>
      <c r="AG30" s="13"/>
      <c r="AH30" s="15">
        <f>2282.1367673</f>
        <v>2282.1367673</v>
      </c>
      <c r="AI30" s="13">
        <f t="shared" si="10"/>
        <v>291.40458361656647</v>
      </c>
      <c r="AJ30" s="13"/>
      <c r="AL30">
        <f>0.00605564</f>
        <v>6.0556400000000002E-3</v>
      </c>
      <c r="AO30" s="20">
        <f>MAX(AF19,AF41)</f>
        <v>11379.17555079</v>
      </c>
      <c r="AP30" s="20">
        <f t="shared" si="11"/>
        <v>79952.371191548402</v>
      </c>
      <c r="AQ30">
        <f t="shared" si="12"/>
        <v>13016.936548289999</v>
      </c>
    </row>
    <row r="31" spans="1:43" x14ac:dyDescent="0.35">
      <c r="A31">
        <v>13.05</v>
      </c>
      <c r="C31">
        <v>1.7390900000000001E-2</v>
      </c>
      <c r="E31">
        <v>7.990572E-2</v>
      </c>
      <c r="G31">
        <v>665.89675101</v>
      </c>
      <c r="I31">
        <v>24811278.180473</v>
      </c>
      <c r="O31" s="11">
        <v>13.05</v>
      </c>
      <c r="P31" s="7"/>
      <c r="Q31" s="7">
        <v>1.7388629999999999E-2</v>
      </c>
      <c r="R31" s="7"/>
      <c r="S31" s="7">
        <v>8.1548099999999998E-2</v>
      </c>
      <c r="T31" s="7"/>
      <c r="U31" s="7">
        <v>672.99465353999994</v>
      </c>
      <c r="V31" s="7"/>
      <c r="W31" s="7">
        <v>24308398.7390109</v>
      </c>
      <c r="X31" s="7"/>
      <c r="Y31" s="7">
        <f t="shared" si="14"/>
        <v>16564.261162229999</v>
      </c>
      <c r="Z31" s="7">
        <f t="shared" si="8"/>
        <v>40856.868696613798</v>
      </c>
      <c r="AA31" s="7">
        <f t="shared" si="9"/>
        <v>18832.076518620001</v>
      </c>
      <c r="AC31" s="13"/>
      <c r="AD31" s="13">
        <f xml:space="preserve"> 0.01412388</f>
        <v>1.412388E-2</v>
      </c>
      <c r="AE31" s="13"/>
      <c r="AF31" s="13">
        <f>0.08914536</f>
        <v>8.9145360000000007E-2</v>
      </c>
      <c r="AG31" s="13"/>
      <c r="AH31" s="15">
        <f>1939.97331149</f>
        <v>1939.97331149</v>
      </c>
      <c r="AI31" s="13">
        <f t="shared" si="10"/>
        <v>307.3626070351545</v>
      </c>
      <c r="AJ31" s="13"/>
      <c r="AL31">
        <f>0.00880655</f>
        <v>8.8065499999999998E-3</v>
      </c>
      <c r="AO31">
        <f t="shared" si="13"/>
        <v>16548.424161669998</v>
      </c>
      <c r="AP31">
        <f t="shared" si="11"/>
        <v>81642.073589321197</v>
      </c>
      <c r="AQ31">
        <f t="shared" si="12"/>
        <v>17946.354906909997</v>
      </c>
    </row>
    <row r="32" spans="1:43" x14ac:dyDescent="0.35">
      <c r="A32">
        <v>15.05</v>
      </c>
      <c r="C32">
        <v>2.1190069999999998E-2</v>
      </c>
      <c r="E32">
        <v>7.6661000000000007E-2</v>
      </c>
      <c r="G32">
        <v>705.19409655000004</v>
      </c>
      <c r="I32">
        <v>31511046.8889869</v>
      </c>
      <c r="O32" s="11">
        <v>15.05</v>
      </c>
      <c r="P32" s="7"/>
      <c r="Q32" s="7">
        <v>2.118488E-2</v>
      </c>
      <c r="R32" s="7"/>
      <c r="S32" s="7">
        <v>7.823223E-2</v>
      </c>
      <c r="T32" s="7"/>
      <c r="U32" s="7">
        <v>712.62954658000001</v>
      </c>
      <c r="V32" s="7"/>
      <c r="W32" s="7">
        <v>30870613.817461301</v>
      </c>
      <c r="X32" s="7"/>
      <c r="Y32" s="7">
        <f t="shared" si="14"/>
        <v>22420.744110290001</v>
      </c>
      <c r="Z32" s="7">
        <f t="shared" si="8"/>
        <v>50975.732976868399</v>
      </c>
      <c r="AA32" s="7">
        <f t="shared" si="9"/>
        <v>24321.034521289999</v>
      </c>
      <c r="AC32" s="13"/>
      <c r="AD32" s="13">
        <f xml:space="preserve"> 0.01718409</f>
        <v>1.7184089999999999E-2</v>
      </c>
      <c r="AE32" s="13"/>
      <c r="AF32" s="13">
        <f xml:space="preserve"> 0.08546267</f>
        <v>8.5462670000000004E-2</v>
      </c>
      <c r="AG32" s="13"/>
      <c r="AH32" s="15">
        <f xml:space="preserve"> 1616.45993304</f>
        <v>1616.4599330399999</v>
      </c>
      <c r="AI32" s="13">
        <f t="shared" si="10"/>
        <v>325.02369713880137</v>
      </c>
      <c r="AJ32" s="13"/>
      <c r="AL32">
        <f>0.01192036</f>
        <v>1.192036E-2</v>
      </c>
      <c r="AO32">
        <f t="shared" si="13"/>
        <v>22399.597255500001</v>
      </c>
      <c r="AP32">
        <f t="shared" si="11"/>
        <v>85160.766004396006</v>
      </c>
      <c r="AQ32">
        <f t="shared" si="12"/>
        <v>23571.686897080002</v>
      </c>
    </row>
    <row r="33" spans="1:43" x14ac:dyDescent="0.35">
      <c r="A33">
        <v>17.05</v>
      </c>
      <c r="C33">
        <v>2.6400360000000001E-2</v>
      </c>
      <c r="E33">
        <v>7.3211760000000001E-2</v>
      </c>
      <c r="G33">
        <v>751.71589929000004</v>
      </c>
      <c r="I33">
        <v>41108708.396031298</v>
      </c>
      <c r="O33" s="11">
        <v>17.05</v>
      </c>
      <c r="P33" s="7"/>
      <c r="Q33" s="7">
        <v>2.6388200000000001E-2</v>
      </c>
      <c r="R33" s="7"/>
      <c r="S33" s="7">
        <v>7.4704229999999996E-2</v>
      </c>
      <c r="T33" s="7"/>
      <c r="U33" s="7">
        <v>759.47786923000001</v>
      </c>
      <c r="V33" s="7"/>
      <c r="W33" s="7">
        <v>40268864.1681863</v>
      </c>
      <c r="X33" s="7"/>
      <c r="Y33" s="7">
        <f t="shared" si="14"/>
        <v>28877.561271319999</v>
      </c>
      <c r="Z33" s="7">
        <f t="shared" si="8"/>
        <v>62388.774006398198</v>
      </c>
      <c r="AA33" s="7">
        <f t="shared" si="9"/>
        <v>30442.089356349999</v>
      </c>
      <c r="AC33" s="13"/>
      <c r="AD33" s="13">
        <f xml:space="preserve"> 0.02134995</f>
        <v>2.1349949999999999E-2</v>
      </c>
      <c r="AE33" s="13"/>
      <c r="AF33" s="13">
        <f xml:space="preserve"> 0.08150408</f>
        <v>8.1504080000000007E-2</v>
      </c>
      <c r="AG33" s="13"/>
      <c r="AH33" s="15">
        <f xml:space="preserve"> 1318.97187489</f>
        <v>1318.97187489</v>
      </c>
      <c r="AI33" s="13">
        <f t="shared" si="10"/>
        <v>345.50397452873221</v>
      </c>
      <c r="AJ33" s="13"/>
      <c r="AL33">
        <f xml:space="preserve"> 0.01535319</f>
        <v>1.5353189999999999E-2</v>
      </c>
      <c r="AO33">
        <f t="shared" si="13"/>
        <v>28850.24745861</v>
      </c>
      <c r="AP33">
        <f t="shared" si="11"/>
        <v>90553.064191771598</v>
      </c>
      <c r="AQ33">
        <f t="shared" si="12"/>
        <v>29816.343457840001</v>
      </c>
    </row>
    <row r="34" spans="1:43" x14ac:dyDescent="0.35">
      <c r="A34">
        <v>19.05</v>
      </c>
      <c r="C34" t="s">
        <v>23</v>
      </c>
      <c r="E34" t="s">
        <v>25</v>
      </c>
      <c r="G34" t="s">
        <v>28</v>
      </c>
      <c r="I34">
        <v>55252035.807754397</v>
      </c>
      <c r="O34" s="11">
        <v>19.05</v>
      </c>
      <c r="P34" s="7"/>
      <c r="Q34" s="7" t="s">
        <v>40</v>
      </c>
      <c r="R34" s="7"/>
      <c r="S34" s="7" t="s">
        <v>42</v>
      </c>
      <c r="T34" s="7"/>
      <c r="U34" s="7">
        <v>820.80313279999996</v>
      </c>
      <c r="V34" s="7"/>
      <c r="W34" s="7" t="s">
        <v>44</v>
      </c>
      <c r="X34" s="7"/>
      <c r="Y34" s="7">
        <f t="shared" si="14"/>
        <v>31588.541133070001</v>
      </c>
      <c r="Z34" s="7">
        <f t="shared" si="8"/>
        <v>66631.055553869199</v>
      </c>
      <c r="AA34" s="7">
        <f t="shared" si="9"/>
        <v>32863.545169030003</v>
      </c>
      <c r="AC34" s="13"/>
      <c r="AD34" s="13">
        <f xml:space="preserve"> 0.0272372</f>
        <v>2.72372E-2</v>
      </c>
      <c r="AE34" s="13"/>
      <c r="AF34" s="13">
        <f xml:space="preserve"> 0.07758132</f>
        <v>7.7581319999999995E-2</v>
      </c>
      <c r="AG34" s="13"/>
      <c r="AH34" s="15">
        <f xml:space="preserve"> 1058.05533608</f>
        <v>1058.05533608</v>
      </c>
      <c r="AI34" s="13">
        <f t="shared" si="10"/>
        <v>371.46138786860263</v>
      </c>
      <c r="AJ34" s="13"/>
      <c r="AL34">
        <f xml:space="preserve"> 0.01908258</f>
        <v>1.9082579999999998E-2</v>
      </c>
      <c r="AO34">
        <f t="shared" si="13"/>
        <v>35858.166674840002</v>
      </c>
      <c r="AP34">
        <f t="shared" si="11"/>
        <v>98058.403731614409</v>
      </c>
      <c r="AQ34">
        <f t="shared" si="12"/>
        <v>36647.268863730002</v>
      </c>
    </row>
    <row r="35" spans="1:43" x14ac:dyDescent="0.35">
      <c r="O35" s="11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C35" s="13"/>
      <c r="AD35" s="13"/>
      <c r="AE35" s="13"/>
      <c r="AF35" s="13"/>
      <c r="AG35" s="13"/>
      <c r="AH35" s="13"/>
      <c r="AI35" s="13"/>
      <c r="AJ35" s="13"/>
    </row>
    <row r="36" spans="1:43" x14ac:dyDescent="0.35">
      <c r="O36" s="1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C36" s="13"/>
      <c r="AD36" s="13"/>
      <c r="AE36" s="13"/>
      <c r="AF36" s="13"/>
      <c r="AG36" s="13"/>
      <c r="AH36" s="13"/>
      <c r="AI36" s="13"/>
      <c r="AJ36" s="13"/>
    </row>
    <row r="37" spans="1:43" x14ac:dyDescent="0.35">
      <c r="C37" s="1" t="s">
        <v>9</v>
      </c>
      <c r="D37" s="1"/>
      <c r="E37" s="1" t="s">
        <v>11</v>
      </c>
      <c r="F37" s="1"/>
      <c r="G37" s="1"/>
      <c r="H37" s="1" t="s">
        <v>3</v>
      </c>
      <c r="I37" s="1" t="s">
        <v>4</v>
      </c>
      <c r="O37" s="11"/>
      <c r="P37" s="7"/>
      <c r="Q37" s="10" t="s">
        <v>9</v>
      </c>
      <c r="R37" s="10"/>
      <c r="S37" s="10" t="s">
        <v>11</v>
      </c>
      <c r="T37" s="10"/>
      <c r="U37" s="10" t="s">
        <v>3</v>
      </c>
      <c r="V37" s="10"/>
      <c r="W37" s="10" t="s">
        <v>4</v>
      </c>
      <c r="X37" s="7"/>
      <c r="Y37" s="7"/>
      <c r="Z37" s="7"/>
      <c r="AA37" s="7"/>
      <c r="AC37" s="13"/>
      <c r="AD37" s="12" t="s">
        <v>9</v>
      </c>
      <c r="AE37" s="12"/>
      <c r="AF37" s="12" t="s">
        <v>11</v>
      </c>
      <c r="AG37" s="12"/>
      <c r="AI37" s="12" t="s">
        <v>3</v>
      </c>
      <c r="AK37" s="12" t="s">
        <v>4</v>
      </c>
    </row>
    <row r="38" spans="1:43" x14ac:dyDescent="0.35">
      <c r="C38">
        <v>3036.7344430098101</v>
      </c>
      <c r="E38">
        <v>8901.2252034400008</v>
      </c>
      <c r="G38" s="18">
        <v>24980.02213392</v>
      </c>
      <c r="H38">
        <f t="shared" ref="H38:H45" si="15">G38-$AD$86+$AD$64</f>
        <v>28992.446602915144</v>
      </c>
      <c r="I38" s="18">
        <v>48960.843382480001</v>
      </c>
      <c r="J38">
        <f t="shared" ref="J38:J45" si="16">I38+($AD$64- $AD$86)*1.96</f>
        <v>56825.195341710489</v>
      </c>
      <c r="O38" s="11"/>
      <c r="P38" s="7"/>
      <c r="Q38" s="7">
        <v>3036.7344430098101</v>
      </c>
      <c r="R38" s="7"/>
      <c r="S38" s="7">
        <v>8900.5177950899997</v>
      </c>
      <c r="T38" s="7"/>
      <c r="U38" s="19">
        <v>24978.584210820001</v>
      </c>
      <c r="V38" s="13">
        <f t="shared" ref="V38:V45" si="17">U38-$AD$86+$AD$64</f>
        <v>28991.008679815146</v>
      </c>
      <c r="W38" s="19">
        <v>48958.025053220001</v>
      </c>
      <c r="X38">
        <f t="shared" ref="X38:X45" si="18">W38+($AD$64- $AD$86)*1.96</f>
        <v>56822.377012450488</v>
      </c>
      <c r="AC38" s="13"/>
      <c r="AD38" s="13">
        <v>3036.7344430098101</v>
      </c>
      <c r="AE38" s="13"/>
      <c r="AF38" s="13">
        <f>8877.45510207</f>
        <v>8877.4551020700001</v>
      </c>
      <c r="AG38" s="13"/>
      <c r="AH38" s="15">
        <f>35722.64746108</f>
        <v>35722.64746108</v>
      </c>
      <c r="AI38" s="13">
        <f t="shared" ref="AI38:AI45" si="19">AH38-$AD$86+$AD$64</f>
        <v>39735.071930075144</v>
      </c>
      <c r="AJ38" s="15">
        <f>70016.38902373</f>
        <v>70016.389023729993</v>
      </c>
      <c r="AK38">
        <f t="shared" ref="AK38:AK45" si="20">AJ38+($AD$64- $AD$86)*1.96</f>
        <v>77880.740982960473</v>
      </c>
    </row>
    <row r="39" spans="1:43" x14ac:dyDescent="0.35">
      <c r="E39">
        <v>5601.1922324099996</v>
      </c>
      <c r="G39" s="18">
        <v>18435.77717736</v>
      </c>
      <c r="H39">
        <f t="shared" si="15"/>
        <v>22448.201646355144</v>
      </c>
      <c r="I39" s="18">
        <v>36134.123267620002</v>
      </c>
      <c r="J39">
        <f t="shared" si="16"/>
        <v>43998.475226850489</v>
      </c>
      <c r="O39" s="11"/>
      <c r="P39" s="7"/>
      <c r="Q39" s="7"/>
      <c r="R39" s="7"/>
      <c r="S39" s="7">
        <v>5600.4269707699996</v>
      </c>
      <c r="T39" s="7"/>
      <c r="U39" s="19">
        <v>18434.222284390002</v>
      </c>
      <c r="V39" s="13">
        <f t="shared" si="17"/>
        <v>22446.646753385146</v>
      </c>
      <c r="W39" s="19">
        <v>36131.075677410001</v>
      </c>
      <c r="X39">
        <f t="shared" si="18"/>
        <v>43995.427636640488</v>
      </c>
      <c r="AC39" s="13"/>
      <c r="AD39" s="13"/>
      <c r="AE39" s="13"/>
      <c r="AF39" s="13">
        <f xml:space="preserve"> 5579.47600693</f>
        <v>5579.47600693</v>
      </c>
      <c r="AG39" s="13"/>
      <c r="AH39" s="15">
        <f>27820.37180725</f>
        <v>27820.371807250001</v>
      </c>
      <c r="AI39" s="13">
        <f t="shared" si="19"/>
        <v>31832.796276245146</v>
      </c>
      <c r="AJ39" s="15">
        <f>54527.92874221</f>
        <v>54527.928742210002</v>
      </c>
      <c r="AK39">
        <f t="shared" si="20"/>
        <v>62392.28070144049</v>
      </c>
    </row>
    <row r="40" spans="1:43" x14ac:dyDescent="0.35">
      <c r="E40">
        <v>7056.5060415999997</v>
      </c>
      <c r="G40" s="18">
        <v>21406.21573896</v>
      </c>
      <c r="H40">
        <f t="shared" si="15"/>
        <v>25418.640207955144</v>
      </c>
      <c r="I40" s="18">
        <v>41956.182848359997</v>
      </c>
      <c r="J40">
        <f t="shared" si="16"/>
        <v>49820.534807590484</v>
      </c>
      <c r="O40" s="11"/>
      <c r="P40" s="7"/>
      <c r="Q40" s="7"/>
      <c r="R40" s="7"/>
      <c r="S40" s="7">
        <v>7056.5060416099996</v>
      </c>
      <c r="T40" s="7"/>
      <c r="U40" s="19">
        <v>21406.174258660001</v>
      </c>
      <c r="V40" s="13">
        <f t="shared" si="17"/>
        <v>25418.598727655146</v>
      </c>
      <c r="W40" s="19">
        <v>41956.101546979997</v>
      </c>
      <c r="X40">
        <f t="shared" si="18"/>
        <v>49820.453506210484</v>
      </c>
      <c r="AC40" s="13"/>
      <c r="AD40" s="13"/>
      <c r="AE40" s="13"/>
      <c r="AF40" s="13">
        <f>7048.87593829</f>
        <v>7048.8759382899998</v>
      </c>
      <c r="AG40" s="13"/>
      <c r="AH40" s="15">
        <f>29475.5186727</f>
        <v>29475.5186727</v>
      </c>
      <c r="AI40" s="13">
        <f t="shared" si="19"/>
        <v>33487.943141695148</v>
      </c>
      <c r="AJ40" s="15">
        <f>57772.01659849</f>
        <v>57772.016598490001</v>
      </c>
      <c r="AK40">
        <f t="shared" si="20"/>
        <v>65636.368557720489</v>
      </c>
      <c r="AQ40">
        <f>AQ28+AD38+AD42</f>
        <v>15919.044531389809</v>
      </c>
    </row>
    <row r="41" spans="1:43" x14ac:dyDescent="0.35">
      <c r="C41" s="1" t="s">
        <v>10</v>
      </c>
      <c r="E41">
        <v>11390.459220090001</v>
      </c>
      <c r="G41" s="18">
        <v>30138.453240430001</v>
      </c>
      <c r="H41">
        <f t="shared" si="15"/>
        <v>34150.877709425149</v>
      </c>
      <c r="I41" s="18">
        <v>59071.368351240002</v>
      </c>
      <c r="J41">
        <f t="shared" si="16"/>
        <v>66935.720310470482</v>
      </c>
      <c r="O41" s="11"/>
      <c r="P41" s="7"/>
      <c r="Q41" s="10" t="s">
        <v>10</v>
      </c>
      <c r="R41" s="7"/>
      <c r="S41" s="7">
        <v>11390.459220090001</v>
      </c>
      <c r="T41" s="7"/>
      <c r="U41" s="19">
        <v>30138.36679561</v>
      </c>
      <c r="V41" s="13">
        <f t="shared" si="17"/>
        <v>34150.791264605148</v>
      </c>
      <c r="W41" s="19">
        <v>59071.198919399998</v>
      </c>
      <c r="X41">
        <f t="shared" si="18"/>
        <v>66935.550878630485</v>
      </c>
      <c r="AC41" s="13"/>
      <c r="AD41" s="13" t="s">
        <v>10</v>
      </c>
      <c r="AE41" s="13"/>
      <c r="AF41" s="13">
        <f>11379.17555079</f>
        <v>11379.17555079</v>
      </c>
      <c r="AG41" s="13"/>
      <c r="AH41" s="15">
        <f>36885.06144592</f>
        <v>36885.061445920001</v>
      </c>
      <c r="AI41" s="13">
        <f t="shared" si="19"/>
        <v>40897.485914915145</v>
      </c>
      <c r="AJ41" s="15">
        <f>72294.720434</f>
        <v>72294.720434000003</v>
      </c>
      <c r="AK41">
        <f t="shared" si="20"/>
        <v>80159.072393230483</v>
      </c>
    </row>
    <row r="42" spans="1:43" x14ac:dyDescent="0.35">
      <c r="C42">
        <v>11.215531004854901</v>
      </c>
      <c r="E42">
        <v>16564.261162229999</v>
      </c>
      <c r="G42" s="18">
        <v>40556.2157745</v>
      </c>
      <c r="H42">
        <f t="shared" si="15"/>
        <v>44568.640243495145</v>
      </c>
      <c r="I42" s="18">
        <v>79490.18291802</v>
      </c>
      <c r="J42">
        <f t="shared" si="16"/>
        <v>87354.53487725048</v>
      </c>
      <c r="O42" s="11"/>
      <c r="P42" s="7"/>
      <c r="Q42" s="7">
        <v>11.215531004854901</v>
      </c>
      <c r="R42" s="7"/>
      <c r="S42" s="7">
        <v>16564.261162229999</v>
      </c>
      <c r="T42" s="7"/>
      <c r="U42" s="19">
        <v>40556.041586959996</v>
      </c>
      <c r="V42" s="13">
        <f t="shared" si="17"/>
        <v>44568.466055955141</v>
      </c>
      <c r="W42" s="19">
        <v>79489.841510450002</v>
      </c>
      <c r="X42">
        <f t="shared" si="18"/>
        <v>87354.193469680482</v>
      </c>
      <c r="AC42" s="13"/>
      <c r="AD42" s="13">
        <v>4023.64</v>
      </c>
      <c r="AE42" s="13"/>
      <c r="AF42" s="13">
        <f xml:space="preserve"> 16548.42416167</f>
        <v>16548.424161669998</v>
      </c>
      <c r="AG42" s="13"/>
      <c r="AH42" s="15">
        <f xml:space="preserve"> 46019.48979786</f>
        <v>46019.489797859998</v>
      </c>
      <c r="AI42" s="13">
        <f t="shared" si="19"/>
        <v>50031.914266855143</v>
      </c>
      <c r="AJ42" s="15">
        <f>90198.20000381</f>
        <v>90198.200003809994</v>
      </c>
      <c r="AK42">
        <f t="shared" si="20"/>
        <v>98062.551963040474</v>
      </c>
    </row>
    <row r="43" spans="1:43" x14ac:dyDescent="0.35">
      <c r="E43">
        <v>22420.744110290001</v>
      </c>
      <c r="G43" s="18">
        <v>52347.776361700002</v>
      </c>
      <c r="H43">
        <f t="shared" si="15"/>
        <v>56360.200830695147</v>
      </c>
      <c r="I43" s="18">
        <v>102601.64166892999</v>
      </c>
      <c r="J43">
        <f t="shared" si="16"/>
        <v>110465.99362816048</v>
      </c>
      <c r="O43" s="11"/>
      <c r="P43" s="7"/>
      <c r="Q43" s="7"/>
      <c r="R43" s="7"/>
      <c r="S43" s="7">
        <v>22420.744110290001</v>
      </c>
      <c r="T43" s="7"/>
      <c r="U43" s="19">
        <v>52347.43097252</v>
      </c>
      <c r="V43" s="13">
        <f t="shared" si="17"/>
        <v>56359.855441515145</v>
      </c>
      <c r="W43" s="19">
        <v>102600.96470613001</v>
      </c>
      <c r="X43">
        <f t="shared" si="18"/>
        <v>110465.31666536049</v>
      </c>
      <c r="AC43" s="13"/>
      <c r="AD43" s="13"/>
      <c r="AE43" s="13"/>
      <c r="AF43" s="13">
        <f>22399.5972555</f>
        <v>22399.597255500001</v>
      </c>
      <c r="AG43" s="13"/>
      <c r="AH43" s="15">
        <f xml:space="preserve"> 56583.39650187</f>
        <v>56583.396501869996</v>
      </c>
      <c r="AI43" s="13">
        <f t="shared" si="19"/>
        <v>60595.820970865141</v>
      </c>
      <c r="AJ43" s="15">
        <f xml:space="preserve"> 110903.45714367</f>
        <v>110903.45714367001</v>
      </c>
      <c r="AK43">
        <f t="shared" si="20"/>
        <v>118767.80910290049</v>
      </c>
    </row>
    <row r="44" spans="1:43" x14ac:dyDescent="0.35">
      <c r="E44">
        <v>28877.561271319999</v>
      </c>
      <c r="G44" s="18">
        <v>65354.45428926</v>
      </c>
      <c r="H44">
        <f t="shared" si="15"/>
        <v>69366.878758255145</v>
      </c>
      <c r="I44" s="18">
        <v>128094.73040695</v>
      </c>
      <c r="J44">
        <f t="shared" si="16"/>
        <v>135959.08236618049</v>
      </c>
      <c r="O44" s="11"/>
      <c r="P44" s="7"/>
      <c r="Q44" s="7"/>
      <c r="R44" s="7"/>
      <c r="S44" s="7">
        <v>28877.561271319999</v>
      </c>
      <c r="T44" s="7"/>
      <c r="U44" s="19">
        <v>65353.761619819998</v>
      </c>
      <c r="V44" s="13">
        <f t="shared" si="17"/>
        <v>69366.186088815142</v>
      </c>
      <c r="W44" s="19">
        <v>128093.37277485</v>
      </c>
      <c r="X44">
        <f t="shared" si="18"/>
        <v>135957.72473408049</v>
      </c>
      <c r="AC44" s="13"/>
      <c r="AD44" s="13"/>
      <c r="AE44" s="13"/>
      <c r="AF44" s="13">
        <f>28850.24745861</f>
        <v>28850.24745861</v>
      </c>
      <c r="AG44" s="13"/>
      <c r="AH44" s="15">
        <f>68437.84019715</f>
        <v>68437.840197149999</v>
      </c>
      <c r="AI44" s="13">
        <f t="shared" si="19"/>
        <v>72450.264666145144</v>
      </c>
      <c r="AJ44" s="15">
        <f xml:space="preserve"> 134138.16678641</f>
        <v>134138.16678641</v>
      </c>
      <c r="AK44">
        <f t="shared" si="20"/>
        <v>142002.5187456405</v>
      </c>
    </row>
    <row r="45" spans="1:43" x14ac:dyDescent="0.35">
      <c r="E45">
        <v>35892.54733265</v>
      </c>
      <c r="G45" s="18">
        <v>79506.534774519998</v>
      </c>
      <c r="H45">
        <f t="shared" si="15"/>
        <v>83518.959243515143</v>
      </c>
      <c r="I45" s="18">
        <v>155832.80815806001</v>
      </c>
      <c r="J45">
        <f t="shared" si="16"/>
        <v>163697.16011729051</v>
      </c>
      <c r="O45" s="11"/>
      <c r="P45" s="7"/>
      <c r="Q45" s="7"/>
      <c r="R45" s="7"/>
      <c r="S45" s="7" t="s">
        <v>18</v>
      </c>
      <c r="T45" s="7"/>
      <c r="U45" s="19">
        <v>79505.074833389997</v>
      </c>
      <c r="V45" s="13">
        <f t="shared" si="17"/>
        <v>83517.499302385142</v>
      </c>
      <c r="W45" s="19">
        <v>155829.94667345</v>
      </c>
      <c r="X45">
        <f t="shared" si="18"/>
        <v>163694.2986326805</v>
      </c>
      <c r="AC45" s="13"/>
      <c r="AD45" s="13"/>
      <c r="AE45" s="13"/>
      <c r="AF45" s="13">
        <f xml:space="preserve"> 35858.16667484</f>
        <v>35858.166674840002</v>
      </c>
      <c r="AG45" s="13"/>
      <c r="AH45" s="15">
        <f xml:space="preserve"> 81535.51663226</f>
        <v>81535.516632259998</v>
      </c>
      <c r="AI45" s="13">
        <f t="shared" si="19"/>
        <v>85547.941101255143</v>
      </c>
      <c r="AJ45" s="15">
        <f xml:space="preserve"> 159809.61259923</f>
        <v>159809.61259922999</v>
      </c>
      <c r="AK45">
        <f t="shared" si="20"/>
        <v>167673.96455846049</v>
      </c>
    </row>
    <row r="46" spans="1:43" x14ac:dyDescent="0.35">
      <c r="O46" s="1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43" ht="18.5" x14ac:dyDescent="0.45">
      <c r="A47" s="2" t="s">
        <v>15</v>
      </c>
      <c r="B47" s="2" t="s">
        <v>17</v>
      </c>
      <c r="O47" s="5" t="s">
        <v>15</v>
      </c>
      <c r="P47" s="8" t="s">
        <v>17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6" t="s">
        <v>15</v>
      </c>
      <c r="AC47" s="12" t="s">
        <v>17</v>
      </c>
      <c r="AD47" s="13"/>
      <c r="AE47" s="13"/>
      <c r="AF47" s="13"/>
      <c r="AG47" s="13"/>
      <c r="AH47" s="13"/>
      <c r="AI47" s="13"/>
      <c r="AJ47" s="13"/>
    </row>
    <row r="48" spans="1:43" x14ac:dyDescent="0.35">
      <c r="A48" s="1" t="s">
        <v>1</v>
      </c>
      <c r="B48" s="1"/>
      <c r="C48" s="1" t="s">
        <v>7</v>
      </c>
      <c r="D48" s="1"/>
      <c r="E48" s="1" t="s">
        <v>8</v>
      </c>
      <c r="F48" s="1"/>
      <c r="G48" s="1" t="s">
        <v>2</v>
      </c>
      <c r="H48" s="1"/>
      <c r="I48" s="1" t="s">
        <v>12</v>
      </c>
      <c r="K48" s="1" t="s">
        <v>21</v>
      </c>
      <c r="M48" s="1" t="s">
        <v>53</v>
      </c>
      <c r="O48" s="9" t="s">
        <v>1</v>
      </c>
      <c r="P48" s="10"/>
      <c r="Q48" s="10" t="s">
        <v>7</v>
      </c>
      <c r="R48" s="10"/>
      <c r="S48" s="10" t="s">
        <v>8</v>
      </c>
      <c r="T48" s="10"/>
      <c r="U48" s="10" t="s">
        <v>2</v>
      </c>
      <c r="V48" s="10"/>
      <c r="W48" s="10" t="s">
        <v>12</v>
      </c>
      <c r="X48" s="7"/>
      <c r="Y48" s="7"/>
      <c r="Z48" s="7"/>
      <c r="AA48" s="7"/>
      <c r="AB48" s="16" t="s">
        <v>1</v>
      </c>
      <c r="AC48" s="12"/>
      <c r="AD48" s="12" t="s">
        <v>7</v>
      </c>
      <c r="AE48" s="12"/>
      <c r="AF48" s="12" t="s">
        <v>8</v>
      </c>
      <c r="AG48" s="12"/>
      <c r="AH48" s="12" t="s">
        <v>2</v>
      </c>
      <c r="AI48" s="12"/>
      <c r="AJ48" s="12" t="s">
        <v>12</v>
      </c>
      <c r="AL48" t="s">
        <v>63</v>
      </c>
    </row>
    <row r="49" spans="1:38" x14ac:dyDescent="0.35">
      <c r="A49">
        <v>5.05</v>
      </c>
      <c r="C49">
        <v>4.62598E-3</v>
      </c>
      <c r="E49">
        <v>6.3845460000000007E-2</v>
      </c>
      <c r="G49">
        <v>274.40988404000001</v>
      </c>
      <c r="I49">
        <v>8259967.07187826</v>
      </c>
      <c r="K49">
        <f>(G49/C49) * E49</f>
        <v>3787.2678383997472</v>
      </c>
      <c r="M49">
        <f>K60+K49</f>
        <v>22215.861182714892</v>
      </c>
      <c r="O49" s="11">
        <v>5.05</v>
      </c>
      <c r="P49" s="7"/>
      <c r="Q49" s="7" t="s">
        <v>46</v>
      </c>
      <c r="R49" s="7"/>
      <c r="S49" s="7" t="s">
        <v>48</v>
      </c>
      <c r="T49" s="7"/>
      <c r="U49" s="7">
        <v>3907.1279588900002</v>
      </c>
      <c r="V49" s="7"/>
      <c r="W49" s="7">
        <v>8093183.2520674504</v>
      </c>
      <c r="X49" s="7"/>
      <c r="Y49" s="7"/>
      <c r="Z49" s="7"/>
      <c r="AA49" s="7"/>
      <c r="AB49" s="17">
        <v>5.05</v>
      </c>
      <c r="AC49" s="13"/>
      <c r="AD49" s="13"/>
      <c r="AE49" s="13"/>
      <c r="AF49" s="13"/>
      <c r="AG49" s="13"/>
      <c r="AH49" s="13">
        <f>2407.16971865</f>
        <v>2407.16971865</v>
      </c>
      <c r="AI49" s="13"/>
      <c r="AJ49" s="13"/>
      <c r="AL49">
        <f>0.00215172</f>
        <v>2.1517200000000002E-3</v>
      </c>
    </row>
    <row r="50" spans="1:38" x14ac:dyDescent="0.35">
      <c r="A50">
        <v>7.05</v>
      </c>
      <c r="C50">
        <v>5.35974E-3</v>
      </c>
      <c r="E50">
        <v>6.2526650000000003E-2</v>
      </c>
      <c r="G50">
        <v>289.27116734999998</v>
      </c>
      <c r="I50">
        <v>9772008.4514966998</v>
      </c>
      <c r="K50">
        <f>(G50/C50) * E50</f>
        <v>3374.6332911642871</v>
      </c>
      <c r="M50">
        <f t="shared" ref="M50:M56" si="21">K61+K50</f>
        <v>18667.01111979943</v>
      </c>
      <c r="O50" s="11">
        <v>7.05</v>
      </c>
      <c r="P50" s="7"/>
      <c r="Q50" s="7">
        <v>5.35989E-3</v>
      </c>
      <c r="R50" s="7"/>
      <c r="S50" s="7">
        <v>6.3816860000000003E-2</v>
      </c>
      <c r="T50" s="7"/>
      <c r="U50" s="7">
        <v>3481.4324391300001</v>
      </c>
      <c r="V50" s="7"/>
      <c r="W50" s="7">
        <v>9574703.8296741303</v>
      </c>
      <c r="X50" s="7"/>
      <c r="Y50" s="7"/>
      <c r="Z50" s="7"/>
      <c r="AA50" s="7"/>
      <c r="AB50" s="17">
        <v>7.05</v>
      </c>
      <c r="AC50" s="13"/>
      <c r="AD50" s="13"/>
      <c r="AE50" s="13"/>
      <c r="AF50" s="13"/>
      <c r="AG50" s="13"/>
      <c r="AH50" s="13">
        <f>2144.92871322</f>
        <v>2144.9287132200002</v>
      </c>
      <c r="AI50" s="13"/>
      <c r="AJ50" s="13"/>
      <c r="AL50">
        <f>0.00131222</f>
        <v>1.31222E-3</v>
      </c>
    </row>
    <row r="51" spans="1:38" x14ac:dyDescent="0.35">
      <c r="A51">
        <v>9.0500000000000007</v>
      </c>
      <c r="C51">
        <v>6.2760400000000001E-3</v>
      </c>
      <c r="E51">
        <v>6.1015319999999998E-2</v>
      </c>
      <c r="G51">
        <v>305.45675147999998</v>
      </c>
      <c r="I51">
        <v>11726051.0360216</v>
      </c>
      <c r="K51">
        <f t="shared" ref="K51:K56" si="22">(G51/C51) * E51</f>
        <v>2969.6339471565939</v>
      </c>
      <c r="M51">
        <f t="shared" si="21"/>
        <v>15780.107992541738</v>
      </c>
      <c r="O51" s="11">
        <v>9.0500000000000007</v>
      </c>
      <c r="P51" s="7"/>
      <c r="Q51" s="7">
        <v>6.2762299999999998E-3</v>
      </c>
      <c r="R51" s="7"/>
      <c r="S51" s="7">
        <v>6.2274419999999997E-2</v>
      </c>
      <c r="T51" s="7"/>
      <c r="U51" s="7">
        <v>3063.6214643899998</v>
      </c>
      <c r="V51" s="7"/>
      <c r="W51" s="7">
        <v>11489305.903612699</v>
      </c>
      <c r="X51" s="7"/>
      <c r="Y51" s="7"/>
      <c r="Z51" s="7"/>
      <c r="AA51" s="7"/>
      <c r="AB51" s="17">
        <v>9.0500000000000007</v>
      </c>
      <c r="AC51" s="13"/>
      <c r="AD51" s="13"/>
      <c r="AE51" s="13"/>
      <c r="AF51" s="13"/>
      <c r="AG51" s="13"/>
      <c r="AH51" s="13">
        <f>1887.54001024</f>
        <v>1887.5400102399999</v>
      </c>
      <c r="AI51" s="13"/>
      <c r="AJ51" s="13"/>
      <c r="AL51">
        <f>0.00064185</f>
        <v>6.4185000000000002E-4</v>
      </c>
    </row>
    <row r="52" spans="1:38" x14ac:dyDescent="0.35">
      <c r="A52">
        <v>11.05</v>
      </c>
      <c r="C52">
        <v>7.4464900000000001E-3</v>
      </c>
      <c r="E52">
        <v>5.9311839999999998E-2</v>
      </c>
      <c r="G52">
        <v>323.43358605999998</v>
      </c>
      <c r="I52">
        <v>14312483.8345431</v>
      </c>
      <c r="K52">
        <f t="shared" si="22"/>
        <v>2576.1722780822838</v>
      </c>
      <c r="M52">
        <f t="shared" si="21"/>
        <v>19308.728514437425</v>
      </c>
      <c r="O52" s="11">
        <v>11.05</v>
      </c>
      <c r="P52" s="7"/>
      <c r="Q52" s="7">
        <v>7.44693E-3</v>
      </c>
      <c r="R52" s="7"/>
      <c r="S52" s="7">
        <v>6.0536680000000002E-2</v>
      </c>
      <c r="T52" s="7"/>
      <c r="U52" s="7">
        <v>2657.7471047200002</v>
      </c>
      <c r="V52" s="7"/>
      <c r="W52" s="7">
        <v>14023725.869298499</v>
      </c>
      <c r="X52" s="7"/>
      <c r="Y52" s="7"/>
      <c r="Z52" s="7"/>
      <c r="AA52" s="7"/>
      <c r="AB52" s="17">
        <v>11.05</v>
      </c>
      <c r="AC52" s="13"/>
      <c r="AD52" s="13"/>
      <c r="AE52" s="13"/>
      <c r="AF52" s="13"/>
      <c r="AG52" s="13"/>
      <c r="AH52" s="13">
        <f>1637.7609975</f>
        <v>1637.7609975</v>
      </c>
      <c r="AI52" s="13"/>
      <c r="AJ52" s="13"/>
      <c r="AL52">
        <f>0.00168258</f>
        <v>1.6825799999999999E-3</v>
      </c>
    </row>
    <row r="53" spans="1:38" x14ac:dyDescent="0.35">
      <c r="A53">
        <v>13.05</v>
      </c>
      <c r="C53">
        <v>8.9765799999999996E-3</v>
      </c>
      <c r="E53">
        <v>5.7407989999999999E-2</v>
      </c>
      <c r="G53">
        <v>343.71287346000003</v>
      </c>
      <c r="I53">
        <v>17825576.7046737</v>
      </c>
      <c r="K53">
        <f t="shared" si="22"/>
        <v>2198.1495405224427</v>
      </c>
      <c r="M53">
        <f t="shared" si="21"/>
        <v>23768.243114947585</v>
      </c>
      <c r="O53" s="11">
        <v>13.05</v>
      </c>
      <c r="P53" s="7"/>
      <c r="Q53" s="7">
        <v>8.9776100000000005E-3</v>
      </c>
      <c r="R53" s="7"/>
      <c r="S53" s="7">
        <v>5.8595120000000001E-2</v>
      </c>
      <c r="T53" s="7"/>
      <c r="U53" s="7">
        <v>2267.81535639</v>
      </c>
      <c r="V53" s="7"/>
      <c r="W53" s="7">
        <v>17466421.227825101</v>
      </c>
      <c r="X53" s="7"/>
      <c r="Y53" s="7"/>
      <c r="Z53" s="7"/>
      <c r="AA53" s="7"/>
      <c r="AB53" s="17">
        <v>13.05</v>
      </c>
      <c r="AC53" s="13"/>
      <c r="AD53" s="13"/>
      <c r="AE53" s="13"/>
      <c r="AF53" s="13"/>
      <c r="AG53" s="13"/>
      <c r="AH53" s="13">
        <f>1397.93074524</f>
        <v>1397.9307452400001</v>
      </c>
      <c r="AI53" s="13"/>
      <c r="AJ53" s="13"/>
      <c r="AL53">
        <f>0.00296677</f>
        <v>2.9667700000000001E-3</v>
      </c>
    </row>
    <row r="54" spans="1:38" x14ac:dyDescent="0.35">
      <c r="A54">
        <v>15.05</v>
      </c>
      <c r="C54">
        <v>1.104397E-2</v>
      </c>
      <c r="E54">
        <v>5.5344039999999997E-2</v>
      </c>
      <c r="G54">
        <v>367.53726576000003</v>
      </c>
      <c r="I54">
        <v>22748836.429285601</v>
      </c>
      <c r="K54">
        <f t="shared" si="22"/>
        <v>1841.8193039017738</v>
      </c>
      <c r="M54">
        <f t="shared" si="21"/>
        <v>29193.114625406921</v>
      </c>
      <c r="O54" s="11">
        <v>15.05</v>
      </c>
      <c r="P54" s="7"/>
      <c r="Q54" s="7">
        <v>1.104636E-2</v>
      </c>
      <c r="R54" s="7"/>
      <c r="S54" s="7">
        <v>5.6491390000000002E-2</v>
      </c>
      <c r="T54" s="7"/>
      <c r="U54" s="7">
        <v>1900.2904109999999</v>
      </c>
      <c r="V54" s="7"/>
      <c r="W54" s="7">
        <v>22291630.232570399</v>
      </c>
      <c r="X54" s="7"/>
      <c r="Y54" s="7"/>
      <c r="Z54" s="7"/>
      <c r="AA54" s="7"/>
      <c r="AB54" s="17">
        <v>15.05</v>
      </c>
      <c r="AC54" s="13"/>
      <c r="AD54" s="13"/>
      <c r="AE54" s="13"/>
      <c r="AF54" s="13"/>
      <c r="AG54" s="13"/>
      <c r="AH54" s="13">
        <f xml:space="preserve"> 1172.08964158</f>
        <v>1172.08964158</v>
      </c>
      <c r="AI54" s="13"/>
      <c r="AJ54" s="13"/>
      <c r="AL54">
        <f xml:space="preserve"> 0.00450155</f>
        <v>4.50155E-3</v>
      </c>
    </row>
    <row r="55" spans="1:38" x14ac:dyDescent="0.35">
      <c r="A55">
        <v>17.05</v>
      </c>
      <c r="C55">
        <v>1.39668E-2</v>
      </c>
      <c r="E55">
        <v>5.3250579999999999E-2</v>
      </c>
      <c r="G55">
        <v>397.68632839999998</v>
      </c>
      <c r="I55">
        <v>29900420.388613701</v>
      </c>
      <c r="K55">
        <f t="shared" si="22"/>
        <v>1516.2404878261643</v>
      </c>
      <c r="M55">
        <f t="shared" si="21"/>
        <v>35450.74266227131</v>
      </c>
      <c r="O55" s="11">
        <v>17.05</v>
      </c>
      <c r="P55" s="7"/>
      <c r="Q55" s="7">
        <v>1.397254E-2</v>
      </c>
      <c r="R55" s="7"/>
      <c r="S55" s="7">
        <v>5.4359810000000001E-2</v>
      </c>
      <c r="T55" s="7"/>
      <c r="U55" s="7">
        <v>1564.5280850300001</v>
      </c>
      <c r="V55" s="7"/>
      <c r="W55" s="7">
        <v>29302329.591487199</v>
      </c>
      <c r="X55" s="7"/>
      <c r="Y55" s="7"/>
      <c r="Z55" s="7"/>
      <c r="AA55" s="7"/>
      <c r="AB55" s="17">
        <v>17.05</v>
      </c>
      <c r="AC55" s="13"/>
      <c r="AD55" s="13"/>
      <c r="AE55" s="13"/>
      <c r="AF55" s="13"/>
      <c r="AG55" s="13"/>
      <c r="AH55" s="13">
        <f xml:space="preserve">  966.09599923</f>
        <v>966.09599922999996</v>
      </c>
      <c r="AI55" s="13"/>
      <c r="AJ55" s="13"/>
      <c r="AL55">
        <f xml:space="preserve"> 0.0062485</f>
        <v>6.2484999999999997E-3</v>
      </c>
    </row>
    <row r="56" spans="1:38" s="20" customFormat="1" x14ac:dyDescent="0.35">
      <c r="A56" s="20">
        <v>19.05</v>
      </c>
      <c r="C56" s="20">
        <v>1.8382510000000001E-2</v>
      </c>
      <c r="E56" s="20">
        <v>5.1484130000000003E-2</v>
      </c>
      <c r="G56" s="20">
        <v>441.10669446999998</v>
      </c>
      <c r="I56" s="20" t="s">
        <v>20</v>
      </c>
      <c r="K56" s="20">
        <f t="shared" si="22"/>
        <v>1235.4131400969595</v>
      </c>
      <c r="M56" s="20">
        <f t="shared" si="21"/>
        <v>42566.2925212521</v>
      </c>
      <c r="O56" s="21">
        <v>19.05</v>
      </c>
      <c r="P56" s="22"/>
      <c r="Q56" s="22" t="s">
        <v>47</v>
      </c>
      <c r="R56" s="22"/>
      <c r="S56" s="22" t="s">
        <v>49</v>
      </c>
      <c r="T56" s="22"/>
      <c r="U56" s="22">
        <v>1275.00403596</v>
      </c>
      <c r="V56" s="22"/>
      <c r="W56" s="22" t="s">
        <v>50</v>
      </c>
      <c r="X56" s="22"/>
      <c r="Y56" s="22"/>
      <c r="Z56" s="22"/>
      <c r="AA56" s="22"/>
      <c r="AB56" s="24">
        <v>19.05</v>
      </c>
      <c r="AC56" s="23"/>
      <c r="AD56" s="23"/>
      <c r="AE56" s="23"/>
      <c r="AF56" s="23"/>
      <c r="AG56" s="23"/>
      <c r="AH56" s="23">
        <f xml:space="preserve">  789.10218889</f>
        <v>789.10218888999998</v>
      </c>
      <c r="AI56" s="23"/>
      <c r="AJ56" s="23"/>
      <c r="AL56" s="20">
        <f xml:space="preserve">  0.00820877</f>
        <v>8.2087700000000006E-3</v>
      </c>
    </row>
    <row r="57" spans="1:38" x14ac:dyDescent="0.35">
      <c r="O57" s="11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17"/>
      <c r="AC57" s="13"/>
      <c r="AD57" s="13"/>
      <c r="AE57" s="13"/>
      <c r="AF57" s="13"/>
      <c r="AG57" s="13"/>
      <c r="AH57" s="13"/>
      <c r="AI57" s="13"/>
      <c r="AJ57" s="13"/>
    </row>
    <row r="58" spans="1:38" x14ac:dyDescent="0.35">
      <c r="O58" s="11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17"/>
      <c r="AC58" s="13"/>
      <c r="AD58" s="13"/>
      <c r="AE58" s="13"/>
      <c r="AF58" s="13"/>
      <c r="AG58" s="13"/>
      <c r="AH58" s="13"/>
      <c r="AI58" s="13"/>
      <c r="AJ58" s="13"/>
    </row>
    <row r="59" spans="1:38" x14ac:dyDescent="0.35">
      <c r="C59" s="1" t="s">
        <v>9</v>
      </c>
      <c r="D59" s="1"/>
      <c r="E59" s="1" t="s">
        <v>11</v>
      </c>
      <c r="F59" s="1"/>
      <c r="G59" s="1" t="s">
        <v>3</v>
      </c>
      <c r="H59" s="1"/>
      <c r="I59" s="1" t="s">
        <v>4</v>
      </c>
      <c r="K59" s="1" t="s">
        <v>52</v>
      </c>
      <c r="M59" s="1" t="s">
        <v>54</v>
      </c>
      <c r="O59" s="11"/>
      <c r="P59" s="7"/>
      <c r="Q59" s="10" t="s">
        <v>9</v>
      </c>
      <c r="R59" s="10"/>
      <c r="S59" s="10" t="s">
        <v>11</v>
      </c>
      <c r="T59" s="10"/>
      <c r="U59" s="10" t="s">
        <v>3</v>
      </c>
      <c r="V59" s="10"/>
      <c r="W59" s="10" t="s">
        <v>4</v>
      </c>
      <c r="X59" s="7"/>
      <c r="Y59" s="7"/>
      <c r="Z59" s="7"/>
      <c r="AA59" s="7"/>
      <c r="AB59" s="17"/>
      <c r="AC59" s="13"/>
      <c r="AD59" s="12" t="s">
        <v>9</v>
      </c>
      <c r="AE59" s="12"/>
      <c r="AF59" s="12" t="s">
        <v>11</v>
      </c>
      <c r="AG59" s="12"/>
      <c r="AI59" s="12" t="s">
        <v>3</v>
      </c>
      <c r="AK59" s="12" t="s">
        <v>4</v>
      </c>
    </row>
    <row r="60" spans="1:38" x14ac:dyDescent="0.35">
      <c r="C60">
        <v>3036.7344430098101</v>
      </c>
      <c r="E60">
        <v>4022.9295216300002</v>
      </c>
      <c r="G60">
        <v>14690.57875936</v>
      </c>
      <c r="I60">
        <v>28793.534368339999</v>
      </c>
      <c r="K60">
        <f t="shared" ref="K60:K67" si="23">G60-G49 - $AD$86 + $AD$64</f>
        <v>18428.593344315144</v>
      </c>
      <c r="M60">
        <f>M49*1.96</f>
        <v>43543.087918121186</v>
      </c>
      <c r="O60" s="11"/>
      <c r="P60" s="7"/>
      <c r="Q60" s="7">
        <v>3036.7344430098101</v>
      </c>
      <c r="R60" s="7"/>
      <c r="S60" s="7">
        <v>4023.3615092700002</v>
      </c>
      <c r="T60" s="7"/>
      <c r="U60" s="19">
        <v>21873.45266458</v>
      </c>
      <c r="V60" s="13">
        <f t="shared" ref="V60:V67" si="24">U60-$AD$86+$AD$64</f>
        <v>25885.877133575144</v>
      </c>
      <c r="W60" s="19">
        <v>42871.967222569998</v>
      </c>
      <c r="X60">
        <f t="shared" ref="X60:X67" si="25">W60+($AD$64- $AD$86)*1.96</f>
        <v>50736.319181800485</v>
      </c>
      <c r="AB60" s="17"/>
      <c r="AC60" s="13"/>
      <c r="AD60" s="13">
        <v>3036.7344430098101</v>
      </c>
      <c r="AE60" s="13"/>
      <c r="AF60" s="13">
        <f>4043.30549226</f>
        <v>4043.3054922599999</v>
      </c>
      <c r="AG60" s="13"/>
      <c r="AH60" s="15">
        <f>22653.31070197</f>
        <v>22653.31070197</v>
      </c>
      <c r="AI60" s="13">
        <f t="shared" ref="AI60:AI67" si="26">AH60-$AD$86+$AD$64</f>
        <v>26665.735170965145</v>
      </c>
      <c r="AJ60" s="15">
        <f>44400.48897586</f>
        <v>44400.488975859997</v>
      </c>
      <c r="AK60">
        <f t="shared" ref="AK60:AK67" si="27">AJ60+($AD$64- $AD$86)*1.96</f>
        <v>52264.840935090484</v>
      </c>
    </row>
    <row r="61" spans="1:38" x14ac:dyDescent="0.35">
      <c r="E61">
        <v>2447.39112213</v>
      </c>
      <c r="G61">
        <v>11569.22452699</v>
      </c>
      <c r="I61">
        <v>22675.680072899999</v>
      </c>
      <c r="K61">
        <f t="shared" si="23"/>
        <v>15292.377828635144</v>
      </c>
      <c r="M61">
        <f t="shared" ref="M61:M67" si="28">M50*1.96</f>
        <v>36587.341794806882</v>
      </c>
      <c r="O61" s="11"/>
      <c r="P61" s="7"/>
      <c r="Q61" s="7"/>
      <c r="R61" s="7"/>
      <c r="S61" s="7">
        <v>2447.8891110099999</v>
      </c>
      <c r="T61" s="7"/>
      <c r="U61" s="19">
        <v>17880.2064126</v>
      </c>
      <c r="V61" s="13">
        <f t="shared" si="24"/>
        <v>21892.630881595145</v>
      </c>
      <c r="W61" s="19">
        <v>35045.204568690002</v>
      </c>
      <c r="X61">
        <f t="shared" si="25"/>
        <v>42909.556527920489</v>
      </c>
      <c r="AB61" s="17"/>
      <c r="AC61" s="13"/>
      <c r="AD61" s="13"/>
      <c r="AE61" s="13"/>
      <c r="AF61" s="13">
        <f>2465.80177044</f>
        <v>2465.8017704399999</v>
      </c>
      <c r="AG61" s="13"/>
      <c r="AH61" s="15">
        <f>18575.48047975</f>
        <v>18575.48047975</v>
      </c>
      <c r="AI61" s="13">
        <f t="shared" si="26"/>
        <v>22587.904948745145</v>
      </c>
      <c r="AJ61" s="15">
        <f xml:space="preserve"> 36407.94174031</f>
        <v>36407.941740310001</v>
      </c>
      <c r="AK61">
        <f t="shared" si="27"/>
        <v>44272.293699540489</v>
      </c>
    </row>
    <row r="62" spans="1:38" x14ac:dyDescent="0.35">
      <c r="E62">
        <v>1198.3464384399999</v>
      </c>
      <c r="G62">
        <v>9103.50632787</v>
      </c>
      <c r="I62">
        <v>17842.87240262</v>
      </c>
      <c r="K62">
        <f t="shared" si="23"/>
        <v>12810.474045385145</v>
      </c>
      <c r="M62">
        <f t="shared" si="28"/>
        <v>30929.011665381808</v>
      </c>
      <c r="O62" s="11"/>
      <c r="P62" s="7"/>
      <c r="Q62" s="7"/>
      <c r="R62" s="7"/>
      <c r="S62" s="7">
        <v>1198.34630767</v>
      </c>
      <c r="T62" s="7"/>
      <c r="U62" s="19">
        <v>14554.42008722</v>
      </c>
      <c r="V62" s="13">
        <f t="shared" si="24"/>
        <v>18566.844556215146</v>
      </c>
      <c r="W62" s="19">
        <v>28526.663370959999</v>
      </c>
      <c r="X62">
        <f t="shared" si="25"/>
        <v>36391.015330190487</v>
      </c>
      <c r="AB62" s="17"/>
      <c r="AC62" s="13"/>
      <c r="AD62" s="13"/>
      <c r="AE62" s="13"/>
      <c r="AF62" s="13">
        <f>1206.11009925</f>
        <v>1206.1100992500001</v>
      </c>
      <c r="AG62" s="13"/>
      <c r="AH62" s="15">
        <f>15150.34954966</f>
        <v>15150.349549660001</v>
      </c>
      <c r="AI62" s="13">
        <f t="shared" si="26"/>
        <v>19162.774018655145</v>
      </c>
      <c r="AJ62" s="15">
        <f>29694.68511733</f>
        <v>29694.685117329998</v>
      </c>
      <c r="AK62">
        <f t="shared" si="27"/>
        <v>37559.037076560482</v>
      </c>
    </row>
    <row r="63" spans="1:38" x14ac:dyDescent="0.35">
      <c r="C63" s="1" t="s">
        <v>10</v>
      </c>
      <c r="E63">
        <v>3150.3991166300002</v>
      </c>
      <c r="G63">
        <v>13043.565353419999</v>
      </c>
      <c r="I63">
        <v>25565.38809271</v>
      </c>
      <c r="K63">
        <f t="shared" si="23"/>
        <v>16732.556236355143</v>
      </c>
      <c r="M63">
        <f t="shared" si="28"/>
        <v>37845.107888297352</v>
      </c>
      <c r="O63" s="11"/>
      <c r="P63" s="7"/>
      <c r="Q63" s="10" t="s">
        <v>10</v>
      </c>
      <c r="R63" s="7"/>
      <c r="S63" s="7">
        <v>3150.3989336999998</v>
      </c>
      <c r="T63" s="7"/>
      <c r="U63" s="19">
        <v>17655.442976359998</v>
      </c>
      <c r="V63" s="13">
        <f t="shared" si="24"/>
        <v>21667.867445355143</v>
      </c>
      <c r="W63" s="19">
        <v>34604.668233670003</v>
      </c>
      <c r="X63">
        <f t="shared" si="25"/>
        <v>42469.020192900491</v>
      </c>
      <c r="AB63" s="17"/>
      <c r="AC63" s="13"/>
      <c r="AD63" s="13" t="s">
        <v>10</v>
      </c>
      <c r="AE63" s="13"/>
      <c r="AF63" s="13">
        <f>3161.74278521</f>
        <v>3161.74278521</v>
      </c>
      <c r="AG63" s="13"/>
      <c r="AH63" s="15">
        <f>18182.64573752</f>
        <v>18182.645737520001</v>
      </c>
      <c r="AI63" s="13">
        <f t="shared" si="26"/>
        <v>22195.070206515145</v>
      </c>
      <c r="AJ63" s="15">
        <f>35637.98564554</f>
        <v>35637.98564554</v>
      </c>
      <c r="AK63">
        <f t="shared" si="27"/>
        <v>43502.337604770488</v>
      </c>
    </row>
    <row r="64" spans="1:38" x14ac:dyDescent="0.35">
      <c r="C64">
        <v>11.215531004854901</v>
      </c>
      <c r="E64">
        <v>5559.0281419700004</v>
      </c>
      <c r="G64">
        <v>17901.38197889</v>
      </c>
      <c r="I64">
        <v>35086.708678620002</v>
      </c>
      <c r="K64">
        <f t="shared" si="23"/>
        <v>21570.093574425144</v>
      </c>
      <c r="M64">
        <f t="shared" si="28"/>
        <v>46585.756505297264</v>
      </c>
      <c r="O64" s="11"/>
      <c r="P64" s="7"/>
      <c r="Q64" s="7">
        <v>11.215531004854901</v>
      </c>
      <c r="R64" s="7"/>
      <c r="S64" s="7">
        <v>5559.0278943000003</v>
      </c>
      <c r="T64" s="7"/>
      <c r="U64" s="19">
        <v>21701.163345699999</v>
      </c>
      <c r="V64" s="13">
        <f t="shared" si="24"/>
        <v>25713.587814695144</v>
      </c>
      <c r="W64" s="19">
        <v>42534.280157579997</v>
      </c>
      <c r="X64">
        <f t="shared" si="25"/>
        <v>50398.632116810484</v>
      </c>
      <c r="AB64" s="17"/>
      <c r="AC64" s="13"/>
      <c r="AD64" s="13">
        <v>4023.64</v>
      </c>
      <c r="AE64" s="13"/>
      <c r="AF64" s="13">
        <f xml:space="preserve">  5574.87620217</f>
        <v>5574.8762021700004</v>
      </c>
      <c r="AG64" s="13"/>
      <c r="AH64" s="15">
        <f xml:space="preserve"> 22164.95294953</f>
        <v>22164.952949530001</v>
      </c>
      <c r="AI64" s="13">
        <f t="shared" si="26"/>
        <v>26177.377418525146</v>
      </c>
      <c r="AJ64" s="15">
        <f>43443.30778108</f>
        <v>43443.307781080002</v>
      </c>
      <c r="AK64">
        <f t="shared" si="27"/>
        <v>51307.65974031049</v>
      </c>
    </row>
    <row r="65" spans="1:38" x14ac:dyDescent="0.35">
      <c r="E65">
        <v>8437.7168193599991</v>
      </c>
      <c r="G65">
        <v>23706.408118269999</v>
      </c>
      <c r="I65">
        <v>46464.559911819997</v>
      </c>
      <c r="K65">
        <f t="shared" si="23"/>
        <v>27351.295321505146</v>
      </c>
      <c r="M65">
        <f t="shared" si="28"/>
        <v>57218.504665797562</v>
      </c>
      <c r="O65" s="11"/>
      <c r="P65" s="7"/>
      <c r="Q65" s="7"/>
      <c r="R65" s="7"/>
      <c r="S65" s="7">
        <v>8437.7164957799996</v>
      </c>
      <c r="T65" s="7"/>
      <c r="U65" s="19">
        <v>26731.338165609999</v>
      </c>
      <c r="V65" s="13">
        <f t="shared" si="24"/>
        <v>30743.762634605144</v>
      </c>
      <c r="W65" s="19">
        <v>52393.422804590002</v>
      </c>
      <c r="X65">
        <f t="shared" si="25"/>
        <v>60257.774763820489</v>
      </c>
      <c r="AB65" s="17"/>
      <c r="AC65" s="13"/>
      <c r="AD65" s="13"/>
      <c r="AE65" s="13"/>
      <c r="AF65" s="13">
        <f xml:space="preserve"> 8458.87747606</f>
        <v>8458.8774760600008</v>
      </c>
      <c r="AG65" s="13"/>
      <c r="AH65" s="15">
        <f>27138.22351231</f>
        <v>27138.22351231</v>
      </c>
      <c r="AI65" s="13">
        <f t="shared" si="26"/>
        <v>31150.647981305145</v>
      </c>
      <c r="AJ65" s="15">
        <f>53190.91808412</f>
        <v>53190.91808412</v>
      </c>
      <c r="AK65">
        <f t="shared" si="27"/>
        <v>61055.270043350487</v>
      </c>
    </row>
    <row r="66" spans="1:38" x14ac:dyDescent="0.35">
      <c r="E66">
        <v>11714.24571451</v>
      </c>
      <c r="G66">
        <v>30319.764033849999</v>
      </c>
      <c r="I66">
        <v>59426.737506340003</v>
      </c>
      <c r="K66">
        <f t="shared" si="23"/>
        <v>33934.502174445144</v>
      </c>
      <c r="M66">
        <f t="shared" si="28"/>
        <v>69483.455618051768</v>
      </c>
      <c r="O66" s="11"/>
      <c r="P66" s="7"/>
      <c r="Q66" s="7"/>
      <c r="R66" s="7"/>
      <c r="S66" s="7">
        <v>11714.245302429999</v>
      </c>
      <c r="T66" s="7"/>
      <c r="U66" s="19">
        <v>32620.040429330002</v>
      </c>
      <c r="V66" s="13">
        <f t="shared" si="24"/>
        <v>36632.464898325146</v>
      </c>
      <c r="W66" s="19">
        <v>63935.279241479999</v>
      </c>
      <c r="X66">
        <f t="shared" si="25"/>
        <v>71799.631200710486</v>
      </c>
      <c r="AB66" s="17"/>
      <c r="AC66" s="13"/>
      <c r="AD66" s="13"/>
      <c r="AE66" s="13"/>
      <c r="AF66" s="13">
        <f xml:space="preserve"> 11741.57929631</f>
        <v>11741.579296309999</v>
      </c>
      <c r="AG66" s="13"/>
      <c r="AH66" s="15">
        <f>32978.73813288</f>
        <v>32978.738132879997</v>
      </c>
      <c r="AI66" s="13">
        <f t="shared" si="26"/>
        <v>36991.162601875141</v>
      </c>
      <c r="AJ66" s="15">
        <f>64638.32674045</f>
        <v>64638.32674045</v>
      </c>
      <c r="AK66">
        <f t="shared" si="27"/>
        <v>72502.678699680488</v>
      </c>
    </row>
    <row r="67" spans="1:38" x14ac:dyDescent="0.35">
      <c r="E67" t="s">
        <v>14</v>
      </c>
      <c r="G67">
        <v>37759.561606629999</v>
      </c>
      <c r="I67">
        <v>74008.740748990007</v>
      </c>
      <c r="K67">
        <f t="shared" si="23"/>
        <v>41330.879381155144</v>
      </c>
      <c r="M67">
        <f t="shared" si="28"/>
        <v>83429.933341654119</v>
      </c>
      <c r="O67" s="11"/>
      <c r="P67" s="7"/>
      <c r="Q67" s="7"/>
      <c r="R67" s="7"/>
      <c r="S67" s="7" t="s">
        <v>51</v>
      </c>
      <c r="T67" s="7"/>
      <c r="U67" s="19">
        <v>39400.130975879998</v>
      </c>
      <c r="V67" s="13">
        <f t="shared" si="24"/>
        <v>43412.555444875143</v>
      </c>
      <c r="W67" s="19">
        <v>77224.256712720002</v>
      </c>
      <c r="X67">
        <f t="shared" si="25"/>
        <v>85088.608671950482</v>
      </c>
      <c r="AB67" s="17"/>
      <c r="AC67" s="13"/>
      <c r="AD67" s="13"/>
      <c r="AE67" s="13"/>
      <c r="AF67" s="13">
        <f xml:space="preserve"> 15425.13287629</f>
        <v>15425.132876289999</v>
      </c>
      <c r="AG67" s="13"/>
      <c r="AH67" s="15">
        <f>39723.00631467</f>
        <v>39723.006314669998</v>
      </c>
      <c r="AI67" s="13">
        <f t="shared" si="26"/>
        <v>43735.430783665142</v>
      </c>
      <c r="AJ67" s="15">
        <f xml:space="preserve"> 77857.09237676</f>
        <v>77857.092376760003</v>
      </c>
      <c r="AK67">
        <f t="shared" si="27"/>
        <v>85721.444335990484</v>
      </c>
    </row>
    <row r="68" spans="1:38" x14ac:dyDescent="0.35">
      <c r="O68" s="11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38" ht="18.5" x14ac:dyDescent="0.45">
      <c r="A69" s="2" t="s">
        <v>15</v>
      </c>
      <c r="B69" s="2" t="s">
        <v>16</v>
      </c>
      <c r="O69" s="5" t="s">
        <v>15</v>
      </c>
      <c r="P69" s="8" t="s">
        <v>16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6" t="s">
        <v>15</v>
      </c>
      <c r="AC69" s="12" t="s">
        <v>16</v>
      </c>
      <c r="AD69" s="13"/>
      <c r="AE69" s="13"/>
      <c r="AF69" s="13"/>
      <c r="AG69" s="13"/>
      <c r="AH69" s="13"/>
      <c r="AI69" s="13"/>
      <c r="AJ69" s="13"/>
    </row>
    <row r="70" spans="1:38" x14ac:dyDescent="0.35">
      <c r="A70" s="1" t="s">
        <v>1</v>
      </c>
      <c r="B70" s="1"/>
      <c r="C70" s="1" t="s">
        <v>7</v>
      </c>
      <c r="D70" s="1"/>
      <c r="E70" s="1" t="s">
        <v>8</v>
      </c>
      <c r="F70" s="1"/>
      <c r="G70" s="1" t="s">
        <v>2</v>
      </c>
      <c r="H70" s="1"/>
      <c r="I70" s="1" t="s">
        <v>12</v>
      </c>
      <c r="K70" s="1" t="s">
        <v>21</v>
      </c>
      <c r="M70" s="1" t="s">
        <v>53</v>
      </c>
      <c r="O70" s="9" t="s">
        <v>1</v>
      </c>
      <c r="P70" s="10"/>
      <c r="Q70" s="10" t="s">
        <v>7</v>
      </c>
      <c r="R70" s="10"/>
      <c r="S70" s="10" t="s">
        <v>8</v>
      </c>
      <c r="T70" s="10"/>
      <c r="U70" s="10" t="s">
        <v>2</v>
      </c>
      <c r="V70" s="10"/>
      <c r="W70" s="10" t="s">
        <v>12</v>
      </c>
      <c r="X70" s="7"/>
      <c r="Y70" s="7"/>
      <c r="Z70" s="7"/>
      <c r="AA70" s="7"/>
      <c r="AB70" s="16" t="s">
        <v>1</v>
      </c>
      <c r="AC70" s="12"/>
      <c r="AD70" s="12" t="s">
        <v>7</v>
      </c>
      <c r="AE70" s="12"/>
      <c r="AF70" s="12" t="s">
        <v>8</v>
      </c>
      <c r="AG70" s="12"/>
      <c r="AH70" s="12" t="s">
        <v>2</v>
      </c>
      <c r="AI70" s="12"/>
      <c r="AJ70" s="12" t="s">
        <v>12</v>
      </c>
      <c r="AL70" t="s">
        <v>63</v>
      </c>
    </row>
    <row r="71" spans="1:38" x14ac:dyDescent="0.35">
      <c r="A71">
        <v>5.05</v>
      </c>
      <c r="C71">
        <v>2.6616399999999998E-3</v>
      </c>
      <c r="E71">
        <v>5.2700820000000002E-2</v>
      </c>
      <c r="G71">
        <v>157.88669297000001</v>
      </c>
      <c r="I71">
        <v>6818136.0603182698</v>
      </c>
      <c r="K71" s="4">
        <f>(G71/C71) * E71</f>
        <v>3126.1771639317253</v>
      </c>
      <c r="M71">
        <f>K82+K71</f>
        <v>17889.063819566869</v>
      </c>
      <c r="O71" s="11">
        <v>5.05</v>
      </c>
      <c r="P71" s="7"/>
      <c r="Q71" s="7" t="s">
        <v>55</v>
      </c>
      <c r="R71" s="7"/>
      <c r="S71" t="s">
        <v>57</v>
      </c>
      <c r="T71" s="7"/>
      <c r="U71" t="s">
        <v>60</v>
      </c>
      <c r="V71" s="7"/>
      <c r="W71">
        <v>6680491.54239308</v>
      </c>
      <c r="X71" s="7"/>
      <c r="Y71" s="7"/>
      <c r="Z71" s="7"/>
      <c r="AA71" s="7"/>
      <c r="AB71" s="17">
        <v>5.05</v>
      </c>
      <c r="AC71" s="13"/>
      <c r="AD71" s="13">
        <f>0.00257419</f>
        <v>2.5741900000000001E-3</v>
      </c>
      <c r="AE71" s="13"/>
      <c r="AF71" s="13">
        <f>0.05895943</f>
        <v>5.895943E-2</v>
      </c>
      <c r="AG71" s="13"/>
      <c r="AH71" s="13">
        <f>1987.75024349</f>
        <v>1987.75024349</v>
      </c>
      <c r="AI71" s="13"/>
      <c r="AJ71" s="13">
        <v>6818136.0603182698</v>
      </c>
      <c r="AL71">
        <f>0.00120582918</f>
        <v>1.20582918E-3</v>
      </c>
    </row>
    <row r="72" spans="1:38" x14ac:dyDescent="0.35">
      <c r="A72">
        <v>7.05</v>
      </c>
      <c r="C72">
        <v>3.08924E-3</v>
      </c>
      <c r="E72">
        <v>5.1657540000000002E-2</v>
      </c>
      <c r="G72">
        <v>166.72984371000001</v>
      </c>
      <c r="I72">
        <v>8073324.1471489202</v>
      </c>
      <c r="K72" s="4">
        <f t="shared" ref="K72:K78" si="29">(G72/C72) * E72</f>
        <v>2788.0169784940872</v>
      </c>
      <c r="M72">
        <f t="shared" ref="M72:M78" si="30">K83+K72</f>
        <v>15492.942452189232</v>
      </c>
      <c r="O72" s="11">
        <v>7.05</v>
      </c>
      <c r="P72" s="7"/>
      <c r="Q72" s="7">
        <v>3.0893600000000002E-3</v>
      </c>
      <c r="R72" s="7"/>
      <c r="S72">
        <v>5.2723730000000003E-2</v>
      </c>
      <c r="T72" s="7"/>
      <c r="U72">
        <v>2876.2634860100002</v>
      </c>
      <c r="V72" s="7"/>
      <c r="W72">
        <v>7910356.2961891703</v>
      </c>
      <c r="X72" s="7"/>
      <c r="Y72" s="7"/>
      <c r="Z72" s="7"/>
      <c r="AA72" s="7"/>
      <c r="AB72" s="17">
        <v>7.05</v>
      </c>
      <c r="AC72" s="13"/>
      <c r="AD72" s="13">
        <f>0.00298782</f>
        <v>2.98782E-3</v>
      </c>
      <c r="AE72" s="13"/>
      <c r="AF72" s="13">
        <f>0.05779304</f>
        <v>5.7793039999999997E-2</v>
      </c>
      <c r="AG72" s="13"/>
      <c r="AH72" s="13">
        <f>1772.75543172</f>
        <v>1772.7554317199999</v>
      </c>
      <c r="AI72" s="13"/>
      <c r="AJ72" s="13">
        <v>8073324.1471489202</v>
      </c>
      <c r="AL72">
        <f>0.000654669482</f>
        <v>6.54669482E-4</v>
      </c>
    </row>
    <row r="73" spans="1:38" x14ac:dyDescent="0.35">
      <c r="A73">
        <v>9.0500000000000007</v>
      </c>
      <c r="C73">
        <v>3.62474E-3</v>
      </c>
      <c r="E73">
        <v>5.0460169999999999E-2</v>
      </c>
      <c r="G73">
        <v>176.41699148000001</v>
      </c>
      <c r="I73">
        <v>9697540.0095006991</v>
      </c>
      <c r="K73" s="4">
        <f t="shared" si="29"/>
        <v>2455.9089427019185</v>
      </c>
      <c r="M73">
        <f t="shared" si="30"/>
        <v>13040.318689617063</v>
      </c>
      <c r="O73" s="11">
        <v>9.0500000000000007</v>
      </c>
      <c r="P73" s="7"/>
      <c r="Q73" s="7">
        <v>3.62488E-3</v>
      </c>
      <c r="R73" s="7"/>
      <c r="S73">
        <v>5.1501709999999999E-2</v>
      </c>
      <c r="T73" s="7"/>
      <c r="U73">
        <v>2533.6525742499998</v>
      </c>
      <c r="V73" s="7"/>
      <c r="W73">
        <v>9501797.0781713706</v>
      </c>
      <c r="X73" s="7"/>
      <c r="Y73" s="7"/>
      <c r="Z73" s="7"/>
      <c r="AA73" s="7"/>
      <c r="AB73" s="17">
        <v>9.0500000000000007</v>
      </c>
      <c r="AC73" s="13"/>
      <c r="AD73" s="13">
        <f>0.00350579</f>
        <v>3.5057899999999999E-3</v>
      </c>
      <c r="AE73" s="13"/>
      <c r="AF73" s="13">
        <f>0.05645386</f>
        <v>5.6453860000000002E-2</v>
      </c>
      <c r="AG73" s="13"/>
      <c r="AH73" s="13">
        <f>1561.60016381</f>
        <v>1561.6001638099999</v>
      </c>
      <c r="AI73" s="13"/>
      <c r="AJ73" s="13">
        <v>9697540.0095006991</v>
      </c>
      <c r="AL73" s="14">
        <f>0.0000865985195</f>
        <v>8.6598519499999998E-5</v>
      </c>
    </row>
    <row r="74" spans="1:38" x14ac:dyDescent="0.35">
      <c r="A74">
        <v>11.05</v>
      </c>
      <c r="C74">
        <v>4.3102899999999996E-3</v>
      </c>
      <c r="E74">
        <v>4.9105860000000001E-2</v>
      </c>
      <c r="G74">
        <v>187.21475541999999</v>
      </c>
      <c r="I74">
        <v>11849688.861292001</v>
      </c>
      <c r="K74" s="4">
        <f t="shared" si="29"/>
        <v>2132.8823744083952</v>
      </c>
      <c r="M74">
        <f t="shared" si="30"/>
        <v>13600.47827268354</v>
      </c>
      <c r="O74" s="11">
        <v>11.05</v>
      </c>
      <c r="P74" s="7"/>
      <c r="Q74" s="7">
        <v>4.3105599999999997E-3</v>
      </c>
      <c r="R74" s="7"/>
      <c r="S74">
        <v>5.012001E-2</v>
      </c>
      <c r="T74" s="7"/>
      <c r="U74">
        <v>2200.4231797000002</v>
      </c>
      <c r="V74" s="7"/>
      <c r="W74">
        <v>11610634.967424801</v>
      </c>
      <c r="X74" s="7"/>
      <c r="Y74" s="7"/>
      <c r="Z74" s="7"/>
      <c r="AA74" s="7"/>
      <c r="AB74" s="17">
        <v>11.05</v>
      </c>
      <c r="AC74" s="13"/>
      <c r="AD74" s="13">
        <f>0.00416949</f>
        <v>4.1694899999999997E-3</v>
      </c>
      <c r="AE74" s="13"/>
      <c r="AF74" s="13">
        <f>0.05494295</f>
        <v>5.4942949999999997E-2</v>
      </c>
      <c r="AG74" s="13"/>
      <c r="AH74" s="13">
        <f>1356.30652254</f>
        <v>1356.3065225400001</v>
      </c>
      <c r="AI74" s="13"/>
      <c r="AJ74" s="13">
        <v>11849688.861292001</v>
      </c>
      <c r="AL74">
        <f>0.000317913788</f>
        <v>3.1791378800000001E-4</v>
      </c>
    </row>
    <row r="75" spans="1:38" x14ac:dyDescent="0.35">
      <c r="A75">
        <v>13.05</v>
      </c>
      <c r="C75">
        <v>5.2108900000000001E-3</v>
      </c>
      <c r="E75">
        <v>4.7597819999999999E-2</v>
      </c>
      <c r="G75">
        <v>199.52457436</v>
      </c>
      <c r="I75">
        <v>14779452.468417101</v>
      </c>
      <c r="K75" s="4">
        <f t="shared" si="29"/>
        <v>1822.5168399186884</v>
      </c>
      <c r="M75">
        <f t="shared" si="30"/>
        <v>16373.971811423831</v>
      </c>
      <c r="O75" s="11">
        <v>13.05</v>
      </c>
      <c r="P75" s="7"/>
      <c r="Q75" s="7">
        <v>5.2115199999999999E-3</v>
      </c>
      <c r="R75" s="7"/>
      <c r="S75">
        <v>4.8582269999999997E-2</v>
      </c>
      <c r="T75" s="7"/>
      <c r="U75">
        <v>1880.28646981</v>
      </c>
      <c r="V75" s="7"/>
      <c r="W75">
        <v>14481723.751580499</v>
      </c>
      <c r="X75" s="7"/>
      <c r="Y75" s="7"/>
      <c r="Z75" s="7"/>
      <c r="AA75" s="7"/>
      <c r="AB75" s="17">
        <v>13.05</v>
      </c>
      <c r="AC75" s="13"/>
      <c r="AD75" s="13">
        <f>0.00504276</f>
        <v>5.0427600000000003E-3</v>
      </c>
      <c r="AE75" s="13"/>
      <c r="AF75" s="13">
        <f>0.05326674</f>
        <v>5.326674E-2</v>
      </c>
      <c r="AG75" s="13"/>
      <c r="AH75" s="13">
        <f>1159.18595529</f>
        <v>1159.18595529</v>
      </c>
      <c r="AI75" s="13"/>
      <c r="AJ75" s="13">
        <v>14779452.468417101</v>
      </c>
      <c r="AL75" s="14">
        <f>0.00113755805</f>
        <v>1.1375580499999999E-3</v>
      </c>
    </row>
    <row r="76" spans="1:38" x14ac:dyDescent="0.35">
      <c r="A76">
        <v>15.05</v>
      </c>
      <c r="C76">
        <v>6.4329499999999998E-3</v>
      </c>
      <c r="E76">
        <v>4.596505E-2</v>
      </c>
      <c r="G76">
        <v>214.08499594</v>
      </c>
      <c r="I76">
        <v>18893658.967338599</v>
      </c>
      <c r="K76" s="4">
        <f t="shared" si="29"/>
        <v>1529.6912835684868</v>
      </c>
      <c r="M76">
        <f t="shared" si="30"/>
        <v>19928.165199253632</v>
      </c>
      <c r="O76" s="11">
        <v>15.05</v>
      </c>
      <c r="P76" s="7"/>
      <c r="Q76" s="7">
        <v>6.4344600000000004E-3</v>
      </c>
      <c r="R76" s="7"/>
      <c r="S76">
        <v>4.6918389999999997E-2</v>
      </c>
      <c r="T76" s="7"/>
      <c r="U76">
        <v>1578.2682528099999</v>
      </c>
      <c r="V76" s="7"/>
      <c r="W76">
        <v>18514102.947526202</v>
      </c>
      <c r="X76" s="7"/>
      <c r="Y76" s="7"/>
      <c r="Z76" s="7"/>
      <c r="AA76" s="7"/>
      <c r="AB76" s="17">
        <v>15.05</v>
      </c>
      <c r="AC76" s="13"/>
      <c r="AD76" s="13">
        <f>0.00623037</f>
        <v>6.2303699999999998E-3</v>
      </c>
      <c r="AE76" s="13"/>
      <c r="AF76" s="13">
        <f>0.05146004</f>
        <v>5.1460039999999999E-2</v>
      </c>
      <c r="AG76" s="13"/>
      <c r="AH76" s="13">
        <f xml:space="preserve">  973.32668204</f>
        <v>973.32668204000004</v>
      </c>
      <c r="AI76" s="13"/>
      <c r="AJ76" s="13">
        <v>18893658.967338599</v>
      </c>
      <c r="AL76">
        <f xml:space="preserve"> 0.00216013029</f>
        <v>2.1601302899999998E-3</v>
      </c>
    </row>
    <row r="77" spans="1:38" x14ac:dyDescent="0.35">
      <c r="A77">
        <v>17.05</v>
      </c>
      <c r="C77">
        <v>8.1691300000000001E-3</v>
      </c>
      <c r="E77">
        <v>4.4317809999999999E-2</v>
      </c>
      <c r="G77">
        <v>232.60533362000001</v>
      </c>
      <c r="I77">
        <v>24884633.9560434</v>
      </c>
      <c r="K77" s="4">
        <f t="shared" si="29"/>
        <v>1261.8919004052784</v>
      </c>
      <c r="M77">
        <f t="shared" si="30"/>
        <v>24159.093304270424</v>
      </c>
      <c r="O77" s="11">
        <v>17.05</v>
      </c>
      <c r="P77" s="7"/>
      <c r="Q77" s="7">
        <v>8.1728300000000007E-3</v>
      </c>
      <c r="R77" s="7"/>
      <c r="S77">
        <v>4.524193E-2</v>
      </c>
      <c r="T77" s="7"/>
      <c r="U77">
        <v>1302.10643891</v>
      </c>
      <c r="V77" s="7"/>
      <c r="W77">
        <v>24387387.098457702</v>
      </c>
      <c r="X77" s="7"/>
      <c r="Y77" s="7"/>
      <c r="Z77" s="7"/>
      <c r="AA77" s="7"/>
      <c r="AB77" s="17">
        <v>17.05</v>
      </c>
      <c r="AC77" s="13"/>
      <c r="AD77" s="13">
        <f xml:space="preserve"> 0.00792403</f>
        <v>7.9240300000000003E-3</v>
      </c>
      <c r="AE77" s="13"/>
      <c r="AF77" s="13">
        <f xml:space="preserve"> 0.04965397</f>
        <v>4.9653969999999999E-2</v>
      </c>
      <c r="AG77" s="13"/>
      <c r="AH77" s="13">
        <f xml:space="preserve">  803.54485236</f>
        <v>803.54485236000005</v>
      </c>
      <c r="AI77" s="13"/>
      <c r="AJ77" s="13">
        <v>24884633.9560434</v>
      </c>
      <c r="AL77">
        <f xml:space="preserve"> 0.00335551613</f>
        <v>3.3555161300000001E-3</v>
      </c>
    </row>
    <row r="78" spans="1:38" x14ac:dyDescent="0.35">
      <c r="A78">
        <v>19.05</v>
      </c>
      <c r="C78">
        <v>1.080831E-2</v>
      </c>
      <c r="E78">
        <v>4.2959999999999998E-2</v>
      </c>
      <c r="G78">
        <v>259.35613647999998</v>
      </c>
      <c r="I78">
        <v>33964650.743867896</v>
      </c>
      <c r="K78" s="4">
        <f t="shared" si="29"/>
        <v>1030.8678806567168</v>
      </c>
      <c r="M78">
        <f t="shared" si="30"/>
        <v>29112.587073111863</v>
      </c>
      <c r="O78" s="11">
        <v>19.05</v>
      </c>
      <c r="P78" s="7"/>
      <c r="Q78" s="7" t="s">
        <v>56</v>
      </c>
      <c r="R78" s="7"/>
      <c r="S78" t="s">
        <v>58</v>
      </c>
      <c r="T78" s="7"/>
      <c r="U78" t="s">
        <v>61</v>
      </c>
      <c r="V78" s="7"/>
      <c r="W78">
        <v>33293293.475569598</v>
      </c>
      <c r="X78" s="7"/>
      <c r="Y78" s="7"/>
      <c r="Z78" s="7"/>
      <c r="AA78" s="7"/>
      <c r="AB78" s="17">
        <v>19.05</v>
      </c>
      <c r="AC78" s="13"/>
      <c r="AD78" s="13">
        <f xml:space="preserve"> 0.01051648</f>
        <v>1.051648E-2</v>
      </c>
      <c r="AE78" s="13"/>
      <c r="AF78" s="13">
        <f xml:space="preserve"> 0.04820711</f>
        <v>4.8207109999999997E-2</v>
      </c>
      <c r="AG78" s="13"/>
      <c r="AH78" s="13">
        <f xml:space="preserve"> 657.44938374</f>
        <v>657.44938374000003</v>
      </c>
      <c r="AI78" s="13"/>
      <c r="AJ78" s="13" t="s">
        <v>5</v>
      </c>
      <c r="AL78">
        <f xml:space="preserve"> 0.00473166933</f>
        <v>4.7316693300000004E-3</v>
      </c>
    </row>
    <row r="79" spans="1:38" x14ac:dyDescent="0.35">
      <c r="O79" s="11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7"/>
      <c r="AC79" s="13"/>
      <c r="AD79" s="13"/>
      <c r="AE79" s="13"/>
      <c r="AF79" s="13"/>
      <c r="AG79" s="13"/>
      <c r="AH79" s="13"/>
      <c r="AI79" s="13"/>
      <c r="AJ79" s="13"/>
    </row>
    <row r="80" spans="1:38" x14ac:dyDescent="0.35">
      <c r="O80" s="11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7"/>
      <c r="AC80" s="13"/>
      <c r="AD80" s="13"/>
      <c r="AE80" s="13"/>
      <c r="AF80" s="13"/>
      <c r="AG80" s="13"/>
      <c r="AH80" s="13"/>
      <c r="AI80" s="13"/>
      <c r="AJ80" s="13"/>
    </row>
    <row r="81" spans="3:37" x14ac:dyDescent="0.35">
      <c r="C81" s="1" t="s">
        <v>9</v>
      </c>
      <c r="D81" s="1"/>
      <c r="E81" s="1" t="s">
        <v>11</v>
      </c>
      <c r="F81" s="1"/>
      <c r="G81" s="1" t="s">
        <v>3</v>
      </c>
      <c r="H81" s="1"/>
      <c r="I81" s="1" t="s">
        <v>4</v>
      </c>
      <c r="K81" s="1" t="s">
        <v>52</v>
      </c>
      <c r="M81" s="1" t="s">
        <v>54</v>
      </c>
      <c r="O81" s="11"/>
      <c r="P81" s="7"/>
      <c r="Q81" s="10" t="s">
        <v>9</v>
      </c>
      <c r="R81" s="10"/>
      <c r="S81" s="10" t="s">
        <v>11</v>
      </c>
      <c r="T81" s="10"/>
      <c r="U81" s="10" t="s">
        <v>3</v>
      </c>
      <c r="V81" s="10"/>
      <c r="W81" s="10" t="s">
        <v>4</v>
      </c>
      <c r="X81" s="7"/>
      <c r="Y81" s="7"/>
      <c r="Z81" s="7"/>
      <c r="AA81" s="7"/>
      <c r="AB81" s="17"/>
      <c r="AC81" s="13"/>
      <c r="AD81" s="12" t="s">
        <v>9</v>
      </c>
      <c r="AE81" s="12"/>
      <c r="AF81" s="12" t="s">
        <v>11</v>
      </c>
      <c r="AG81" s="12"/>
      <c r="AI81" s="12" t="s">
        <v>3</v>
      </c>
      <c r="AK81" s="12" t="s">
        <v>4</v>
      </c>
    </row>
    <row r="82" spans="3:37" x14ac:dyDescent="0.35">
      <c r="C82">
        <v>3036.7344430098101</v>
      </c>
      <c r="E82">
        <v>2248.3377728099999</v>
      </c>
      <c r="G82">
        <v>10908.348879609999</v>
      </c>
      <c r="I82">
        <v>21380.363804029999</v>
      </c>
      <c r="K82">
        <f t="shared" ref="K82:K89" si="31">G82-G71 - $AD$86 + $AD$64</f>
        <v>14762.886655635144</v>
      </c>
      <c r="M82">
        <f>M71*1.96</f>
        <v>35062.56508635106</v>
      </c>
      <c r="O82" s="11"/>
      <c r="P82" s="7"/>
      <c r="Q82" s="7">
        <v>3036.7344430098101</v>
      </c>
      <c r="R82" s="7"/>
      <c r="S82" t="s">
        <v>59</v>
      </c>
      <c r="T82" s="7"/>
      <c r="U82" s="18">
        <v>16974.741078499999</v>
      </c>
      <c r="V82" s="13">
        <f t="shared" ref="V82:V89" si="32">U82-$AD$86+$AD$64</f>
        <v>20987.165547495144</v>
      </c>
      <c r="W82" s="18">
        <v>33270.492513849997</v>
      </c>
      <c r="X82">
        <f t="shared" ref="X82:X89" si="33">W82+($AD$64- $AD$86)*1.96</f>
        <v>41134.844473080484</v>
      </c>
      <c r="AB82" s="17"/>
      <c r="AC82" s="13"/>
      <c r="AD82" s="13">
        <v>3036.7344430098101</v>
      </c>
      <c r="AE82" s="13"/>
      <c r="AF82" s="13">
        <f>2265.87947966</f>
        <v>2265.87947966</v>
      </c>
      <c r="AG82" s="13"/>
      <c r="AH82" s="15">
        <f>17622.52685279</f>
        <v>17622.526852790001</v>
      </c>
      <c r="AI82" s="13">
        <f t="shared" ref="AI82:AI89" si="34">AH82-$AD$86+$AD$64</f>
        <v>21634.951321785145</v>
      </c>
      <c r="AJ82" s="15">
        <f>34540.15263148</f>
        <v>34540.152631479999</v>
      </c>
      <c r="AK82">
        <f t="shared" ref="AK82:AK89" si="35">AJ82+($AD$64- $AD$86)*1.96</f>
        <v>42404.504590710487</v>
      </c>
    </row>
    <row r="83" spans="3:37" x14ac:dyDescent="0.35">
      <c r="E83">
        <v>1214.9356064799999</v>
      </c>
      <c r="G83">
        <v>8859.2308484099995</v>
      </c>
      <c r="I83">
        <v>17364.092462879998</v>
      </c>
      <c r="K83">
        <f t="shared" si="31"/>
        <v>12704.925473695144</v>
      </c>
      <c r="M83">
        <f t="shared" ref="M83:M89" si="36">M72*1.96</f>
        <v>30366.167206290895</v>
      </c>
      <c r="O83" s="11"/>
      <c r="P83" s="7"/>
      <c r="Q83" s="7"/>
      <c r="R83" s="7"/>
      <c r="S83">
        <v>1215.39809476</v>
      </c>
      <c r="T83" s="7"/>
      <c r="U83" s="18">
        <v>14217.808230860001</v>
      </c>
      <c r="V83" s="13">
        <f t="shared" si="32"/>
        <v>18230.232699855147</v>
      </c>
      <c r="W83" s="18">
        <v>27866.904132479998</v>
      </c>
      <c r="X83">
        <f t="shared" si="33"/>
        <v>35731.256091710486</v>
      </c>
      <c r="AB83" s="17"/>
      <c r="AC83" s="13"/>
      <c r="AD83" s="13"/>
      <c r="AE83" s="13"/>
      <c r="AF83" s="13">
        <f>1230.19260748</f>
        <v>1230.1926074800001</v>
      </c>
      <c r="AG83" s="13"/>
      <c r="AH83" s="15">
        <f>14794.58908727</f>
        <v>14794.58908727</v>
      </c>
      <c r="AI83" s="13">
        <f t="shared" si="34"/>
        <v>18807.013556265145</v>
      </c>
      <c r="AJ83" s="15">
        <f>28997.39461105</f>
        <v>28997.39461105</v>
      </c>
      <c r="AK83">
        <f t="shared" si="35"/>
        <v>36861.746570280484</v>
      </c>
    </row>
    <row r="84" spans="3:37" x14ac:dyDescent="0.35">
      <c r="E84">
        <v>149.83416919999999</v>
      </c>
      <c r="G84">
        <v>6748.4022693999996</v>
      </c>
      <c r="I84">
        <v>13226.868448020001</v>
      </c>
      <c r="K84">
        <f t="shared" si="31"/>
        <v>10584.409746915144</v>
      </c>
      <c r="M84">
        <f t="shared" si="36"/>
        <v>25559.024631649441</v>
      </c>
      <c r="O84" s="11"/>
      <c r="P84" s="7"/>
      <c r="Q84" s="7"/>
      <c r="R84" s="7"/>
      <c r="S84">
        <v>150.36544591000001</v>
      </c>
      <c r="T84" s="7"/>
      <c r="U84" s="18">
        <v>11409.836645109999</v>
      </c>
      <c r="V84" s="13">
        <f t="shared" si="32"/>
        <v>15422.261114105144</v>
      </c>
      <c r="W84" s="18">
        <v>22363.279824410001</v>
      </c>
      <c r="X84">
        <f t="shared" si="33"/>
        <v>30227.631783640485</v>
      </c>
      <c r="AB84" s="17"/>
      <c r="AC84" s="13"/>
      <c r="AD84" s="13"/>
      <c r="AE84" s="13"/>
      <c r="AF84" s="13">
        <f>162.727699</f>
        <v>162.727699</v>
      </c>
      <c r="AG84" s="13"/>
      <c r="AH84" s="15">
        <f>11916.60655538</f>
        <v>11916.60655538</v>
      </c>
      <c r="AI84" s="13">
        <f t="shared" si="34"/>
        <v>15929.031024375145</v>
      </c>
      <c r="AJ84" s="15">
        <f xml:space="preserve"> 23356.54884854</f>
        <v>23356.548848539998</v>
      </c>
      <c r="AK84">
        <f t="shared" si="35"/>
        <v>31220.900807770482</v>
      </c>
    </row>
    <row r="85" spans="3:37" x14ac:dyDescent="0.35">
      <c r="C85" s="1" t="s">
        <v>10</v>
      </c>
      <c r="E85">
        <v>586.02836291000006</v>
      </c>
      <c r="G85">
        <v>7642.3861846999998</v>
      </c>
      <c r="I85">
        <v>14979.076922009999</v>
      </c>
      <c r="K85">
        <f t="shared" si="31"/>
        <v>11467.595898275145</v>
      </c>
      <c r="M85">
        <f t="shared" si="36"/>
        <v>26656.937414459739</v>
      </c>
      <c r="O85" s="11"/>
      <c r="P85" s="7"/>
      <c r="Q85" s="10" t="s">
        <v>10</v>
      </c>
      <c r="R85" s="7"/>
      <c r="S85">
        <v>586.02836291999995</v>
      </c>
      <c r="T85" s="7"/>
      <c r="U85" s="18">
        <v>11621.81890844</v>
      </c>
      <c r="V85" s="13">
        <f t="shared" si="32"/>
        <v>15634.243377435145</v>
      </c>
      <c r="W85" s="18">
        <v>22778.765060540001</v>
      </c>
      <c r="X85">
        <f t="shared" si="33"/>
        <v>30643.117019770485</v>
      </c>
      <c r="AB85" s="17"/>
      <c r="AC85" s="13"/>
      <c r="AD85" s="13" t="s">
        <v>10</v>
      </c>
      <c r="AE85" s="13"/>
      <c r="AF85" s="13">
        <f xml:space="preserve"> 597.39334402</f>
        <v>597.39334401999997</v>
      </c>
      <c r="AG85" s="13"/>
      <c r="AH85" s="15">
        <f>12063.51212044</f>
        <v>12063.51212044</v>
      </c>
      <c r="AI85" s="13">
        <f t="shared" si="34"/>
        <v>16075.936589435145</v>
      </c>
      <c r="AJ85" s="15">
        <f>23644.48375606</f>
        <v>23644.483756059999</v>
      </c>
      <c r="AK85">
        <f t="shared" si="35"/>
        <v>31508.835715290483</v>
      </c>
    </row>
    <row r="86" spans="3:37" x14ac:dyDescent="0.35">
      <c r="C86">
        <v>11.215531004854901</v>
      </c>
      <c r="E86">
        <v>2121.80299006</v>
      </c>
      <c r="G86">
        <v>10738.55507687</v>
      </c>
      <c r="I86">
        <v>21047.567950659999</v>
      </c>
      <c r="K86">
        <f t="shared" si="31"/>
        <v>14551.454971505143</v>
      </c>
      <c r="M86">
        <f t="shared" si="36"/>
        <v>32092.984750390708</v>
      </c>
      <c r="O86" s="11"/>
      <c r="P86" s="7"/>
      <c r="Q86" s="7">
        <v>11.215531004854901</v>
      </c>
      <c r="R86" s="7"/>
      <c r="S86">
        <v>2121.80299006</v>
      </c>
      <c r="T86" s="7"/>
      <c r="U86" s="18">
        <v>14059.930402239999</v>
      </c>
      <c r="V86" s="13">
        <f t="shared" si="32"/>
        <v>18072.354871235144</v>
      </c>
      <c r="W86" s="18">
        <v>27557.46358838</v>
      </c>
      <c r="X86">
        <f t="shared" si="33"/>
        <v>35421.815547610488</v>
      </c>
      <c r="AB86" s="17"/>
      <c r="AC86" s="13"/>
      <c r="AD86" s="13">
        <v>11.215531004854901</v>
      </c>
      <c r="AE86" s="13"/>
      <c r="AF86" s="13">
        <f>2137.5908544</f>
        <v>2137.5908543999999</v>
      </c>
      <c r="AG86" s="13"/>
      <c r="AH86" s="15">
        <f xml:space="preserve"> 14450.24236025</f>
        <v>14450.24236025</v>
      </c>
      <c r="AI86" s="13">
        <f t="shared" si="34"/>
        <v>18462.666829245147</v>
      </c>
      <c r="AJ86" s="15">
        <f xml:space="preserve"> 28322.4750261</f>
        <v>28322.475026100001</v>
      </c>
      <c r="AK86">
        <f t="shared" si="35"/>
        <v>36186.826985330488</v>
      </c>
    </row>
    <row r="87" spans="3:37" x14ac:dyDescent="0.35">
      <c r="E87">
        <v>4038.0322513699998</v>
      </c>
      <c r="G87">
        <v>14600.13444263</v>
      </c>
      <c r="I87">
        <v>28616.263507560001</v>
      </c>
      <c r="K87">
        <f t="shared" si="31"/>
        <v>18398.473915685146</v>
      </c>
      <c r="M87">
        <f t="shared" si="36"/>
        <v>39059.203790537118</v>
      </c>
      <c r="O87" s="11"/>
      <c r="P87" s="7"/>
      <c r="Q87" s="7"/>
      <c r="R87" s="7"/>
      <c r="S87">
        <v>4038.0322513699998</v>
      </c>
      <c r="T87" s="7"/>
      <c r="U87" s="18">
        <v>17294.80127838</v>
      </c>
      <c r="V87" s="13">
        <f t="shared" si="32"/>
        <v>21307.225747375145</v>
      </c>
      <c r="W87" s="18">
        <v>33897.81050562</v>
      </c>
      <c r="X87">
        <f t="shared" si="33"/>
        <v>41762.162464850488</v>
      </c>
      <c r="AB87" s="17"/>
      <c r="AC87" s="13"/>
      <c r="AD87" s="13"/>
      <c r="AE87" s="13"/>
      <c r="AF87" s="13">
        <f xml:space="preserve"> 4059.11132811</f>
        <v>4059.1113281100002</v>
      </c>
      <c r="AG87" s="13"/>
      <c r="AH87" s="15">
        <f xml:space="preserve"> 17639.24687778</f>
        <v>17639.246877779999</v>
      </c>
      <c r="AI87" s="13">
        <f t="shared" si="34"/>
        <v>21651.671346775143</v>
      </c>
      <c r="AJ87" s="15">
        <f xml:space="preserve">  34572.92388044</f>
        <v>34572.923880440001</v>
      </c>
      <c r="AK87">
        <f t="shared" si="35"/>
        <v>42437.275839670488</v>
      </c>
    </row>
    <row r="88" spans="3:37" x14ac:dyDescent="0.35">
      <c r="E88">
        <v>6278.1358266099996</v>
      </c>
      <c r="G88">
        <v>19117.382268490001</v>
      </c>
      <c r="I88">
        <v>37470.069246239997</v>
      </c>
      <c r="K88">
        <f t="shared" si="31"/>
        <v>22897.201403865147</v>
      </c>
      <c r="M88">
        <f t="shared" si="36"/>
        <v>47351.822876370032</v>
      </c>
      <c r="O88" s="11"/>
      <c r="P88" s="7"/>
      <c r="Q88" s="7"/>
      <c r="R88" s="7"/>
      <c r="S88">
        <v>6278.1358266099996</v>
      </c>
      <c r="T88" s="7"/>
      <c r="U88" s="18">
        <v>21228.58149461</v>
      </c>
      <c r="V88" s="13">
        <f t="shared" si="32"/>
        <v>25241.005963605145</v>
      </c>
      <c r="W88" s="18">
        <v>41608.019729450003</v>
      </c>
      <c r="X88">
        <f t="shared" si="33"/>
        <v>49472.37168868049</v>
      </c>
      <c r="AB88" s="17"/>
      <c r="AC88" s="13"/>
      <c r="AD88" s="13"/>
      <c r="AE88" s="13"/>
      <c r="AF88" s="13">
        <f xml:space="preserve"> 6305.36667115</f>
        <v>6305.36667115</v>
      </c>
      <c r="AG88" s="13"/>
      <c r="AH88" s="15">
        <f xml:space="preserve"> 21534.29745435</f>
        <v>21534.297454349999</v>
      </c>
      <c r="AI88" s="13">
        <f t="shared" si="34"/>
        <v>25546.721923345143</v>
      </c>
      <c r="AJ88" s="15">
        <f xml:space="preserve"> 42207.2230105299</f>
        <v>42207.223010529902</v>
      </c>
      <c r="AK88">
        <f t="shared" si="35"/>
        <v>50071.57496976039</v>
      </c>
    </row>
    <row r="89" spans="3:37" x14ac:dyDescent="0.35">
      <c r="E89">
        <v>8857.0193194799995</v>
      </c>
      <c r="G89">
        <v>24328.65085994</v>
      </c>
      <c r="I89">
        <v>47684.155685470003</v>
      </c>
      <c r="K89">
        <f t="shared" si="31"/>
        <v>28081.719192455144</v>
      </c>
      <c r="M89">
        <f t="shared" si="36"/>
        <v>57060.67066329925</v>
      </c>
      <c r="O89" s="11"/>
      <c r="P89" s="7"/>
      <c r="Q89" s="7"/>
      <c r="R89" s="7"/>
      <c r="S89" t="s">
        <v>6</v>
      </c>
      <c r="T89" s="7"/>
      <c r="U89" s="18">
        <v>25915.12962218</v>
      </c>
      <c r="V89" s="13">
        <f t="shared" si="32"/>
        <v>29927.554091175145</v>
      </c>
      <c r="W89" s="18">
        <v>50793.654059480003</v>
      </c>
      <c r="X89">
        <f t="shared" si="33"/>
        <v>58658.00601871049</v>
      </c>
      <c r="AB89" s="17"/>
      <c r="AC89" s="13"/>
      <c r="AD89" s="13"/>
      <c r="AE89" s="13"/>
      <c r="AF89" s="13">
        <f>8891.30283723</f>
        <v>8891.3028372299996</v>
      </c>
      <c r="AG89" s="13"/>
      <c r="AH89" s="15">
        <f xml:space="preserve"> 26192.06168171</f>
        <v>26192.061681710002</v>
      </c>
      <c r="AI89" s="13">
        <f t="shared" si="34"/>
        <v>30204.486150705146</v>
      </c>
      <c r="AJ89" s="15">
        <f xml:space="preserve"> 51336.44089616</f>
        <v>51336.440896159998</v>
      </c>
      <c r="AK89">
        <f t="shared" si="35"/>
        <v>59200.792855390486</v>
      </c>
    </row>
    <row r="90" spans="3:37" x14ac:dyDescent="0.35">
      <c r="O90" s="11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3:37" x14ac:dyDescent="0.35">
      <c r="N91" s="1"/>
      <c r="O91" s="11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3:37" x14ac:dyDescent="0.35">
      <c r="O92" s="11"/>
      <c r="P92" s="7"/>
      <c r="Q92" s="7"/>
      <c r="R92" s="7"/>
    </row>
    <row r="93" spans="3:37" x14ac:dyDescent="0.35">
      <c r="O93" s="11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3:37" x14ac:dyDescent="0.35">
      <c r="O94" s="11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138F-DD1A-4719-9BD1-943EF01504B1}">
  <dimension ref="A3:R34"/>
  <sheetViews>
    <sheetView topLeftCell="E3" workbookViewId="0">
      <selection activeCell="F7" sqref="F7"/>
    </sheetView>
  </sheetViews>
  <sheetFormatPr defaultRowHeight="14.5" x14ac:dyDescent="0.35"/>
  <cols>
    <col min="2" max="4" width="22.81640625" bestFit="1" customWidth="1"/>
    <col min="6" max="6" width="20.26953125" bestFit="1" customWidth="1"/>
    <col min="8" max="8" width="12.453125" bestFit="1" customWidth="1"/>
    <col min="9" max="9" width="10.453125" bestFit="1" customWidth="1"/>
    <col min="12" max="12" width="10.453125" bestFit="1" customWidth="1"/>
    <col min="16" max="16" width="12.453125" bestFit="1" customWidth="1"/>
  </cols>
  <sheetData>
    <row r="3" spans="1:18" x14ac:dyDescent="0.35">
      <c r="B3" t="s">
        <v>78</v>
      </c>
      <c r="C3" t="s">
        <v>100</v>
      </c>
      <c r="D3" t="s">
        <v>93</v>
      </c>
      <c r="F3" t="s">
        <v>95</v>
      </c>
      <c r="H3" t="s">
        <v>65</v>
      </c>
      <c r="J3" t="s">
        <v>94</v>
      </c>
      <c r="L3" t="s">
        <v>96</v>
      </c>
      <c r="N3" t="s">
        <v>2</v>
      </c>
      <c r="O3" t="s">
        <v>97</v>
      </c>
      <c r="R3" t="s">
        <v>67</v>
      </c>
    </row>
    <row r="4" spans="1:18" x14ac:dyDescent="0.35">
      <c r="B4">
        <v>8.9999999999999993E-3</v>
      </c>
      <c r="C4">
        <v>0.03</v>
      </c>
      <c r="D4">
        <v>0.05</v>
      </c>
      <c r="F4">
        <v>0.4</v>
      </c>
      <c r="H4">
        <v>16911.939999999999</v>
      </c>
      <c r="J4">
        <v>8429.3850000000002</v>
      </c>
      <c r="L4">
        <v>-123</v>
      </c>
      <c r="N4">
        <v>243.27</v>
      </c>
      <c r="O4">
        <v>7.4899999999999994E-2</v>
      </c>
      <c r="R4">
        <f>H4+J4+$Q$13</f>
        <v>28378.059443009806</v>
      </c>
    </row>
    <row r="5" spans="1:18" x14ac:dyDescent="0.35">
      <c r="B5">
        <f>0.01</f>
        <v>0.01</v>
      </c>
      <c r="C5">
        <f>C4</f>
        <v>0.03</v>
      </c>
      <c r="D5">
        <f>D4</f>
        <v>0.05</v>
      </c>
      <c r="E5">
        <f>((D5-$D$4)/$D$4)*100</f>
        <v>0</v>
      </c>
      <c r="F5">
        <f>F4</f>
        <v>0.4</v>
      </c>
      <c r="G5">
        <f>((F5-$F$4)/$F$4)*100</f>
        <v>0</v>
      </c>
      <c r="H5">
        <v>18791</v>
      </c>
      <c r="I5">
        <f>((H5-$H$4)/$H$4)*100</f>
        <v>11.110848311902725</v>
      </c>
      <c r="J5">
        <v>8429.3799999999992</v>
      </c>
      <c r="L5">
        <v>-119</v>
      </c>
      <c r="M5">
        <f>((L5-$L$4)/$L$4)*100</f>
        <v>-3.2520325203252036</v>
      </c>
      <c r="N5">
        <v>243.22792000000001</v>
      </c>
      <c r="O5">
        <v>8.0130000000000007E-2</v>
      </c>
      <c r="P5">
        <f>((O5-$O$4)/$O$4)*100</f>
        <v>6.9826435246996166</v>
      </c>
      <c r="R5">
        <f t="shared" ref="R5:R9" si="0">H5+J5+$Q$13</f>
        <v>30257.114443009807</v>
      </c>
    </row>
    <row r="6" spans="1:18" x14ac:dyDescent="0.35">
      <c r="B6">
        <f>B4</f>
        <v>8.9999999999999993E-3</v>
      </c>
      <c r="C6">
        <f>C5</f>
        <v>0.03</v>
      </c>
      <c r="D6">
        <f>0.0525</f>
        <v>5.2499999999999998E-2</v>
      </c>
      <c r="E6">
        <f t="shared" ref="E6:E9" si="1">((D6-$D$4)/$D$4)*100</f>
        <v>4.9999999999999902</v>
      </c>
      <c r="F6">
        <f>F5</f>
        <v>0.4</v>
      </c>
      <c r="G6">
        <f t="shared" ref="G6:G9" si="2">((F6-$F$4)/$F$4)*100</f>
        <v>0</v>
      </c>
      <c r="H6">
        <v>16911.942999999999</v>
      </c>
      <c r="J6">
        <v>8744.0812999999998</v>
      </c>
      <c r="K6">
        <f>((J6-$J$4)/$J$4)*100</f>
        <v>3.7333245545196903</v>
      </c>
      <c r="L6">
        <v>-121</v>
      </c>
      <c r="M6">
        <f t="shared" ref="M6:M14" si="3">((L6-$L$4)/$L$4)*100</f>
        <v>-1.6260162601626018</v>
      </c>
      <c r="N6">
        <v>243.262</v>
      </c>
      <c r="O6">
        <v>7.5942800000000005E-2</v>
      </c>
      <c r="P6">
        <f>((O6-$O$4)/$O$4)*100</f>
        <v>1.3922563417890661</v>
      </c>
      <c r="R6">
        <f t="shared" si="0"/>
        <v>28692.758743009806</v>
      </c>
    </row>
    <row r="7" spans="1:18" x14ac:dyDescent="0.35">
      <c r="B7">
        <f>B6</f>
        <v>8.9999999999999993E-3</v>
      </c>
      <c r="C7">
        <f>C6</f>
        <v>0.03</v>
      </c>
      <c r="D7">
        <v>0.05</v>
      </c>
      <c r="E7">
        <f t="shared" si="1"/>
        <v>0</v>
      </c>
      <c r="F7">
        <f>0.42</f>
        <v>0.42</v>
      </c>
      <c r="G7">
        <f t="shared" si="2"/>
        <v>4.9999999999999902</v>
      </c>
      <c r="H7">
        <v>16911.942999999999</v>
      </c>
      <c r="J7">
        <f>J6</f>
        <v>8744.0812999999998</v>
      </c>
      <c r="K7">
        <f>((J7-$J$4)/$J$4)*100</f>
        <v>3.7333245545196903</v>
      </c>
      <c r="L7">
        <v>-120</v>
      </c>
      <c r="M7">
        <f t="shared" si="3"/>
        <v>-2.4390243902439024</v>
      </c>
      <c r="N7">
        <f>N6</f>
        <v>243.262</v>
      </c>
      <c r="O7">
        <v>7.5939999999999994E-2</v>
      </c>
      <c r="P7">
        <f>((O7-$O$4)/$O$4)*100</f>
        <v>1.3885180240320418</v>
      </c>
      <c r="R7">
        <f t="shared" si="0"/>
        <v>28692.758743009806</v>
      </c>
    </row>
    <row r="8" spans="1:18" x14ac:dyDescent="0.35">
      <c r="A8" t="s">
        <v>99</v>
      </c>
      <c r="B8">
        <v>9.4166000000000007E-3</v>
      </c>
      <c r="C8">
        <f>C7</f>
        <v>0.03</v>
      </c>
      <c r="D8">
        <f>D7</f>
        <v>0.05</v>
      </c>
      <c r="E8">
        <f t="shared" si="1"/>
        <v>0</v>
      </c>
      <c r="F8">
        <f>F6</f>
        <v>0.4</v>
      </c>
      <c r="G8">
        <f t="shared" si="2"/>
        <v>0</v>
      </c>
      <c r="H8">
        <v>17694</v>
      </c>
      <c r="I8">
        <f>((H8-$H$4)/$H$4)*100</f>
        <v>4.6243068506629124</v>
      </c>
      <c r="J8">
        <f>J4</f>
        <v>8429.3850000000002</v>
      </c>
      <c r="L8">
        <v>-121.545648</v>
      </c>
      <c r="M8">
        <f t="shared" si="3"/>
        <v>-1.1824000000000001</v>
      </c>
      <c r="O8">
        <v>7.7109999999999998E-2</v>
      </c>
      <c r="P8">
        <f>((O8-$O$4)/$O$4)*100</f>
        <v>2.950600801068096</v>
      </c>
      <c r="R8">
        <f t="shared" si="0"/>
        <v>29160.119443009811</v>
      </c>
    </row>
    <row r="9" spans="1:18" x14ac:dyDescent="0.35">
      <c r="A9" t="s">
        <v>98</v>
      </c>
      <c r="B9">
        <f>B4</f>
        <v>8.9999999999999993E-3</v>
      </c>
      <c r="C9">
        <f>C8</f>
        <v>0.03</v>
      </c>
      <c r="D9">
        <f>0.05625</f>
        <v>5.6250000000000001E-2</v>
      </c>
      <c r="E9">
        <f t="shared" si="1"/>
        <v>12.499999999999996</v>
      </c>
      <c r="F9">
        <f>F8</f>
        <v>0.4</v>
      </c>
      <c r="G9">
        <f t="shared" si="2"/>
        <v>0</v>
      </c>
      <c r="H9">
        <f>H7</f>
        <v>16911.942999999999</v>
      </c>
      <c r="J9">
        <v>9216.1252999999997</v>
      </c>
      <c r="K9">
        <f>((J9-$J$4)/$J$4)*100</f>
        <v>9.3333060478314778</v>
      </c>
      <c r="L9">
        <v>-117.82777900000001</v>
      </c>
      <c r="M9">
        <f t="shared" si="3"/>
        <v>-4.2050577235772302</v>
      </c>
      <c r="O9">
        <v>7.7427099999999999E-2</v>
      </c>
      <c r="P9">
        <f>((O9-$O$4)/$O$4)*100</f>
        <v>3.3739652870494052</v>
      </c>
      <c r="R9">
        <f t="shared" si="0"/>
        <v>29164.802743009808</v>
      </c>
    </row>
    <row r="10" spans="1:18" x14ac:dyDescent="0.35">
      <c r="M10">
        <f t="shared" si="3"/>
        <v>-100</v>
      </c>
    </row>
    <row r="11" spans="1:18" x14ac:dyDescent="0.35">
      <c r="B11">
        <v>8.9999999999999993E-3</v>
      </c>
      <c r="C11">
        <f>0.035</f>
        <v>3.5000000000000003E-2</v>
      </c>
      <c r="D11">
        <v>0.05</v>
      </c>
      <c r="J11">
        <v>8785.2961919999998</v>
      </c>
      <c r="K11">
        <f>((J11-$J$4)/$J$4)*100</f>
        <v>4.2222676031525381</v>
      </c>
      <c r="L11">
        <v>-117.609791</v>
      </c>
      <c r="M11">
        <f t="shared" si="3"/>
        <v>-4.3822837398373977</v>
      </c>
      <c r="O11">
        <v>7.6490000000000002E-2</v>
      </c>
      <c r="R11">
        <f>H4+J11+Q13</f>
        <v>28733.970635009806</v>
      </c>
    </row>
    <row r="12" spans="1:18" x14ac:dyDescent="0.35">
      <c r="B12">
        <v>8.9999999999999993E-3</v>
      </c>
      <c r="C12">
        <f>0.035</f>
        <v>3.5000000000000003E-2</v>
      </c>
      <c r="D12">
        <v>5.6250000000000001E-2</v>
      </c>
      <c r="L12">
        <v>-112.624482</v>
      </c>
      <c r="M12">
        <f t="shared" si="3"/>
        <v>-8.4353804878048777</v>
      </c>
      <c r="O12">
        <v>7.8949503955E-2</v>
      </c>
    </row>
    <row r="13" spans="1:18" x14ac:dyDescent="0.35">
      <c r="E13" t="s">
        <v>101</v>
      </c>
      <c r="M13">
        <f t="shared" si="3"/>
        <v>-100</v>
      </c>
      <c r="Q13" s="13">
        <v>3036.7344430098101</v>
      </c>
    </row>
    <row r="14" spans="1:18" x14ac:dyDescent="0.35">
      <c r="B14">
        <v>8.9999999999999993E-3</v>
      </c>
      <c r="C14">
        <v>0.03</v>
      </c>
      <c r="D14">
        <v>0.05</v>
      </c>
      <c r="E14">
        <v>1.4999999999999999E-2</v>
      </c>
      <c r="L14">
        <f>-118.3840138</f>
        <v>-118.38401380000001</v>
      </c>
      <c r="M14">
        <f t="shared" si="3"/>
        <v>-3.7528343089430849</v>
      </c>
      <c r="Q14">
        <v>9110.2029999999995</v>
      </c>
      <c r="R14">
        <f>H4+J4+Q14</f>
        <v>34451.527999999998</v>
      </c>
    </row>
    <row r="15" spans="1:18" x14ac:dyDescent="0.35">
      <c r="C15">
        <v>3.5000000000000003E-2</v>
      </c>
      <c r="D15">
        <v>0.05</v>
      </c>
      <c r="E15">
        <v>1.4999999999999999E-2</v>
      </c>
    </row>
    <row r="16" spans="1:18" x14ac:dyDescent="0.35">
      <c r="Q16">
        <v>5.0000000000000001E-3</v>
      </c>
    </row>
    <row r="17" spans="1:17" x14ac:dyDescent="0.35">
      <c r="Q17">
        <v>1.4999999999999999E-2</v>
      </c>
    </row>
    <row r="18" spans="1:17" x14ac:dyDescent="0.35">
      <c r="A18" t="s">
        <v>102</v>
      </c>
      <c r="B18" t="s">
        <v>119</v>
      </c>
      <c r="C18" t="s">
        <v>103</v>
      </c>
      <c r="D18" t="s">
        <v>104</v>
      </c>
      <c r="E18" t="s">
        <v>105</v>
      </c>
      <c r="F18" t="s">
        <v>106</v>
      </c>
      <c r="G18" t="s">
        <v>63</v>
      </c>
      <c r="I18" t="s">
        <v>67</v>
      </c>
      <c r="J18" t="s">
        <v>71</v>
      </c>
    </row>
    <row r="19" spans="1:17" x14ac:dyDescent="0.35">
      <c r="B19">
        <v>6.9250000000000006E-2</v>
      </c>
      <c r="C19">
        <v>0.4</v>
      </c>
      <c r="D19">
        <v>5.0999999999999997E-2</v>
      </c>
      <c r="E19">
        <v>3.7999999999999999E-2</v>
      </c>
      <c r="F19">
        <v>5.0000000000000001E-3</v>
      </c>
      <c r="G19">
        <v>8.9999999999999993E-3</v>
      </c>
      <c r="I19">
        <f>58633.90035594-138+2019</f>
        <v>60514.900355940001</v>
      </c>
      <c r="J19">
        <f>114922.44469765-4872.41+71079</f>
        <v>181129.03469765</v>
      </c>
      <c r="N19" t="s">
        <v>115</v>
      </c>
      <c r="O19" t="s">
        <v>116</v>
      </c>
      <c r="P19">
        <v>69966886.281092897</v>
      </c>
    </row>
    <row r="20" spans="1:17" x14ac:dyDescent="0.35">
      <c r="I20" s="1" t="s">
        <v>107</v>
      </c>
      <c r="J20" t="s">
        <v>108</v>
      </c>
      <c r="K20">
        <v>3036.7344430098101</v>
      </c>
      <c r="N20" t="s">
        <v>115</v>
      </c>
      <c r="O20" t="s">
        <v>117</v>
      </c>
      <c r="P20">
        <v>80294243.019659698</v>
      </c>
    </row>
    <row r="21" spans="1:17" x14ac:dyDescent="0.35">
      <c r="N21" t="s">
        <v>118</v>
      </c>
      <c r="O21" t="s">
        <v>116</v>
      </c>
      <c r="P21">
        <v>-113748937.868019</v>
      </c>
    </row>
    <row r="22" spans="1:17" x14ac:dyDescent="0.35">
      <c r="I22" t="s">
        <v>109</v>
      </c>
      <c r="J22" t="s">
        <v>108</v>
      </c>
      <c r="K22" t="s">
        <v>110</v>
      </c>
      <c r="N22" t="s">
        <v>118</v>
      </c>
      <c r="O22" t="s">
        <v>117</v>
      </c>
      <c r="P22">
        <v>-110736538.36205199</v>
      </c>
    </row>
    <row r="24" spans="1:17" x14ac:dyDescent="0.35">
      <c r="I24" t="s">
        <v>109</v>
      </c>
      <c r="J24" t="s">
        <v>111</v>
      </c>
      <c r="K24" t="s">
        <v>112</v>
      </c>
    </row>
    <row r="26" spans="1:17" x14ac:dyDescent="0.35">
      <c r="I26" t="s">
        <v>113</v>
      </c>
      <c r="J26" t="s">
        <v>108</v>
      </c>
      <c r="K26">
        <v>2019</v>
      </c>
    </row>
    <row r="28" spans="1:17" x14ac:dyDescent="0.35">
      <c r="I28" t="s">
        <v>113</v>
      </c>
      <c r="J28" t="s">
        <v>111</v>
      </c>
      <c r="K28">
        <v>71069</v>
      </c>
    </row>
    <row r="30" spans="1:17" x14ac:dyDescent="0.35">
      <c r="I30" t="s">
        <v>114</v>
      </c>
      <c r="J30" t="s">
        <v>108</v>
      </c>
      <c r="K30">
        <f>I19</f>
        <v>60514.900355940001</v>
      </c>
    </row>
    <row r="32" spans="1:17" x14ac:dyDescent="0.35">
      <c r="I32" t="s">
        <v>114</v>
      </c>
      <c r="J32" t="s">
        <v>111</v>
      </c>
      <c r="K32">
        <f>J19</f>
        <v>181129.03469765</v>
      </c>
    </row>
    <row r="34" spans="9:11" x14ac:dyDescent="0.35">
      <c r="I34" t="s">
        <v>120</v>
      </c>
      <c r="J34" t="s">
        <v>108</v>
      </c>
      <c r="K34">
        <v>9124.7211000000007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D988-33C8-4BBC-859A-B41735BBD511}">
  <dimension ref="A1:H41"/>
  <sheetViews>
    <sheetView tabSelected="1" topLeftCell="A23" workbookViewId="0">
      <selection activeCell="A2" sqref="A2"/>
    </sheetView>
  </sheetViews>
  <sheetFormatPr defaultRowHeight="14.5" x14ac:dyDescent="0.35"/>
  <sheetData>
    <row r="1" spans="1:8" x14ac:dyDescent="0.35">
      <c r="A1" t="s">
        <v>127</v>
      </c>
      <c r="H1" t="s">
        <v>127</v>
      </c>
    </row>
    <row r="2" spans="1:8" x14ac:dyDescent="0.35">
      <c r="A2" t="s">
        <v>150</v>
      </c>
      <c r="H2" t="s">
        <v>128</v>
      </c>
    </row>
    <row r="3" spans="1:8" x14ac:dyDescent="0.35">
      <c r="A3">
        <v>6.5754448947894497</v>
      </c>
      <c r="H3">
        <v>11.7874424136103</v>
      </c>
    </row>
    <row r="4" spans="1:8" x14ac:dyDescent="0.35">
      <c r="A4" t="s">
        <v>129</v>
      </c>
      <c r="H4" t="s">
        <v>129</v>
      </c>
    </row>
    <row r="5" spans="1:8" x14ac:dyDescent="0.35">
      <c r="A5" t="s">
        <v>130</v>
      </c>
      <c r="H5" t="s">
        <v>138</v>
      </c>
    </row>
    <row r="6" spans="1:8" x14ac:dyDescent="0.35">
      <c r="A6" t="s">
        <v>131</v>
      </c>
      <c r="H6" t="s">
        <v>131</v>
      </c>
    </row>
    <row r="7" spans="1:8" x14ac:dyDescent="0.35">
      <c r="A7" t="s">
        <v>132</v>
      </c>
      <c r="H7" t="s">
        <v>139</v>
      </c>
    </row>
    <row r="8" spans="1:8" x14ac:dyDescent="0.35">
      <c r="A8" t="s">
        <v>133</v>
      </c>
      <c r="H8" t="s">
        <v>140</v>
      </c>
    </row>
    <row r="9" spans="1:8" x14ac:dyDescent="0.35">
      <c r="A9" t="s">
        <v>134</v>
      </c>
      <c r="H9" t="s">
        <v>134</v>
      </c>
    </row>
    <row r="10" spans="1:8" x14ac:dyDescent="0.35">
      <c r="A10" t="s">
        <v>135</v>
      </c>
      <c r="H10" t="s">
        <v>141</v>
      </c>
    </row>
    <row r="11" spans="1:8" x14ac:dyDescent="0.35">
      <c r="A11" t="s">
        <v>136</v>
      </c>
      <c r="H11" t="s">
        <v>136</v>
      </c>
    </row>
    <row r="12" spans="1:8" x14ac:dyDescent="0.35">
      <c r="A12" t="s">
        <v>137</v>
      </c>
      <c r="H12" t="s">
        <v>142</v>
      </c>
    </row>
    <row r="13" spans="1:8" x14ac:dyDescent="0.35">
      <c r="H13">
        <v>-3.13779102134552</v>
      </c>
    </row>
    <row r="15" spans="1:8" x14ac:dyDescent="0.35">
      <c r="A15" t="s">
        <v>121</v>
      </c>
      <c r="H15" t="s">
        <v>143</v>
      </c>
    </row>
    <row r="17" spans="1:1" x14ac:dyDescent="0.35">
      <c r="A17" t="s">
        <v>144</v>
      </c>
    </row>
    <row r="19" spans="1:1" x14ac:dyDescent="0.35">
      <c r="A19" t="s">
        <v>122</v>
      </c>
    </row>
    <row r="23" spans="1:1" x14ac:dyDescent="0.35">
      <c r="A23" t="s">
        <v>123</v>
      </c>
    </row>
    <row r="25" spans="1:1" x14ac:dyDescent="0.35">
      <c r="A25" t="s">
        <v>124</v>
      </c>
    </row>
    <row r="27" spans="1:1" x14ac:dyDescent="0.35">
      <c r="A27" t="s">
        <v>125</v>
      </c>
    </row>
    <row r="29" spans="1:1" x14ac:dyDescent="0.35">
      <c r="A29" t="s">
        <v>126</v>
      </c>
    </row>
    <row r="31" spans="1:1" x14ac:dyDescent="0.35">
      <c r="A31" t="s">
        <v>145</v>
      </c>
    </row>
    <row r="33" spans="1:4" x14ac:dyDescent="0.35">
      <c r="A33" t="s">
        <v>146</v>
      </c>
    </row>
    <row r="35" spans="1:4" x14ac:dyDescent="0.35">
      <c r="A35" t="s">
        <v>67</v>
      </c>
      <c r="B35">
        <f>(3036+8455.9+9124.72)*2</f>
        <v>41233.24</v>
      </c>
      <c r="D35" t="s">
        <v>147</v>
      </c>
    </row>
    <row r="37" spans="1:4" x14ac:dyDescent="0.35">
      <c r="A37" t="s">
        <v>71</v>
      </c>
      <c r="B37">
        <f>(16573+(9124+3036)*1.96)*2</f>
        <v>80813.2</v>
      </c>
      <c r="D37" t="s">
        <v>148</v>
      </c>
    </row>
    <row r="39" spans="1:4" x14ac:dyDescent="0.35">
      <c r="A39" t="s">
        <v>67</v>
      </c>
      <c r="B39">
        <f>B35+2*2015</f>
        <v>45263.24</v>
      </c>
    </row>
    <row r="41" spans="1:4" x14ac:dyDescent="0.35">
      <c r="A41" t="s">
        <v>149</v>
      </c>
      <c r="B41">
        <f>B37+2*70961</f>
        <v>222735.2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Blad2</vt:lpstr>
      <vt:lpstr>Blad1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Mathilde Terleth</cp:lastModifiedBy>
  <dcterms:created xsi:type="dcterms:W3CDTF">2019-06-20T06:31:30Z</dcterms:created>
  <dcterms:modified xsi:type="dcterms:W3CDTF">2019-06-23T06:27:33Z</dcterms:modified>
</cp:coreProperties>
</file>