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FIME2\Octavo semestre\Visión Computacional\"/>
    </mc:Choice>
  </mc:AlternateContent>
  <xr:revisionPtr revIDLastSave="0" documentId="13_ncr:1_{146C6D0D-C3C4-458A-8C38-D969EF264409}" xr6:coauthVersionLast="47" xr6:coauthVersionMax="47" xr10:uidLastSave="{00000000-0000-0000-0000-000000000000}"/>
  <bookViews>
    <workbookView xWindow="3060" yWindow="3585" windowWidth="21105" windowHeight="16215" firstSheet="2" activeTab="5" xr2:uid="{D1A1ABE2-9222-4D21-B082-9B7B0BEFD050}"/>
  </bookViews>
  <sheets>
    <sheet name="Elongación  de contraste" sheetId="1" r:id="rId1"/>
    <sheet name="Shifting" sheetId="2" r:id="rId2"/>
    <sheet name="Filtro de mediana" sheetId="3" r:id="rId3"/>
    <sheet name="Umbral Basado en varianza" sheetId="5" r:id="rId4"/>
    <sheet name="Filtro Orden de Rango" sheetId="4" r:id="rId5"/>
    <sheet name="Vecindario" sheetId="6" r:id="rId6"/>
    <sheet name="Hoja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2" l="1"/>
  <c r="E18" i="1"/>
  <c r="J11" i="1" s="1"/>
  <c r="Q32" i="5"/>
  <c r="O32" i="5"/>
  <c r="O31" i="5"/>
  <c r="N32" i="5"/>
  <c r="N31" i="5"/>
  <c r="U11" i="5"/>
  <c r="U10" i="5"/>
  <c r="S26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11" i="5"/>
  <c r="U9" i="5"/>
  <c r="R26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11" i="5"/>
  <c r="Q26" i="5"/>
  <c r="O26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11" i="5"/>
  <c r="Q9" i="5"/>
  <c r="O9" i="5"/>
  <c r="J27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11" i="5"/>
  <c r="K26" i="5"/>
  <c r="D31" i="4"/>
  <c r="D30" i="4"/>
  <c r="D29" i="4"/>
  <c r="D32" i="4"/>
  <c r="D33" i="4"/>
  <c r="D34" i="4"/>
  <c r="D35" i="4"/>
  <c r="D36" i="4"/>
  <c r="D37" i="4"/>
  <c r="K4" i="3"/>
  <c r="G38" i="4" a="1"/>
  <c r="G38" i="4" s="1"/>
  <c r="H38" i="4" a="1"/>
  <c r="H38" i="4" s="1"/>
  <c r="I38" i="4" a="1"/>
  <c r="I38" i="4" s="1"/>
  <c r="J38" i="4" a="1"/>
  <c r="J38" i="4" s="1"/>
  <c r="K38" i="4" a="1"/>
  <c r="K38" i="4" s="1"/>
  <c r="L38" i="4" a="1"/>
  <c r="L38" i="4" s="1"/>
  <c r="M38" i="4" a="1"/>
  <c r="M38" i="4" s="1"/>
  <c r="N38" i="4" a="1"/>
  <c r="N38" i="4" s="1"/>
  <c r="F38" i="4" a="1"/>
  <c r="F38" i="4" s="1"/>
  <c r="H29" i="4"/>
  <c r="I29" i="4"/>
  <c r="J29" i="4"/>
  <c r="K29" i="4"/>
  <c r="L29" i="4"/>
  <c r="M29" i="4"/>
  <c r="N29" i="4"/>
  <c r="H30" i="4"/>
  <c r="I30" i="4"/>
  <c r="J30" i="4"/>
  <c r="K30" i="4"/>
  <c r="L30" i="4"/>
  <c r="M30" i="4"/>
  <c r="N30" i="4"/>
  <c r="H31" i="4"/>
  <c r="I31" i="4"/>
  <c r="J31" i="4"/>
  <c r="K31" i="4"/>
  <c r="L31" i="4"/>
  <c r="M31" i="4"/>
  <c r="N31" i="4"/>
  <c r="H32" i="4"/>
  <c r="I32" i="4"/>
  <c r="J32" i="4"/>
  <c r="K32" i="4"/>
  <c r="L32" i="4"/>
  <c r="M32" i="4"/>
  <c r="N32" i="4"/>
  <c r="H33" i="4"/>
  <c r="I33" i="4"/>
  <c r="J33" i="4"/>
  <c r="K33" i="4"/>
  <c r="L33" i="4"/>
  <c r="M33" i="4"/>
  <c r="N33" i="4"/>
  <c r="H34" i="4"/>
  <c r="I34" i="4"/>
  <c r="J34" i="4"/>
  <c r="K34" i="4"/>
  <c r="L34" i="4"/>
  <c r="M34" i="4"/>
  <c r="N34" i="4"/>
  <c r="H35" i="4"/>
  <c r="I35" i="4"/>
  <c r="J35" i="4"/>
  <c r="K35" i="4"/>
  <c r="L35" i="4"/>
  <c r="M35" i="4"/>
  <c r="N35" i="4"/>
  <c r="H36" i="4"/>
  <c r="I36" i="4"/>
  <c r="J36" i="4"/>
  <c r="K36" i="4"/>
  <c r="L36" i="4"/>
  <c r="M36" i="4"/>
  <c r="N36" i="4"/>
  <c r="H37" i="4"/>
  <c r="I37" i="4"/>
  <c r="J37" i="4"/>
  <c r="K37" i="4"/>
  <c r="L37" i="4"/>
  <c r="M37" i="4"/>
  <c r="N37" i="4"/>
  <c r="G30" i="4"/>
  <c r="G31" i="4"/>
  <c r="G32" i="4"/>
  <c r="G33" i="4"/>
  <c r="G34" i="4"/>
  <c r="G35" i="4"/>
  <c r="G36" i="4"/>
  <c r="G37" i="4"/>
  <c r="G29" i="4"/>
  <c r="F30" i="4"/>
  <c r="F31" i="4"/>
  <c r="F32" i="4"/>
  <c r="F33" i="4"/>
  <c r="F34" i="4"/>
  <c r="F35" i="4"/>
  <c r="F36" i="4"/>
  <c r="F37" i="4"/>
  <c r="F29" i="4"/>
  <c r="E38" i="4"/>
  <c r="J18" i="1"/>
  <c r="K5" i="3"/>
  <c r="K6" i="3"/>
  <c r="K7" i="3"/>
  <c r="K8" i="3"/>
  <c r="K9" i="3"/>
  <c r="K10" i="3"/>
  <c r="K11" i="3"/>
  <c r="K12" i="3"/>
  <c r="J5" i="3"/>
  <c r="J6" i="3"/>
  <c r="J7" i="3"/>
  <c r="J8" i="3"/>
  <c r="J9" i="3"/>
  <c r="J10" i="3"/>
  <c r="J11" i="3"/>
  <c r="J12" i="3"/>
  <c r="J4" i="3"/>
  <c r="G14" i="3"/>
  <c r="M11" i="3"/>
  <c r="M10" i="3"/>
  <c r="M9" i="3"/>
  <c r="M8" i="3"/>
  <c r="M7" i="3"/>
  <c r="M6" i="3"/>
  <c r="M5" i="3"/>
  <c r="M4" i="3"/>
  <c r="L26" i="2"/>
  <c r="M26" i="2"/>
  <c r="M29" i="2"/>
  <c r="L29" i="2" s="1"/>
  <c r="M28" i="2"/>
  <c r="L28" i="2"/>
  <c r="M27" i="2"/>
  <c r="L27" i="2"/>
  <c r="K27" i="2"/>
  <c r="F25" i="2"/>
  <c r="E25" i="2"/>
  <c r="T11" i="1"/>
  <c r="S18" i="1" s="1"/>
  <c r="E19" i="1"/>
  <c r="F19" i="1"/>
  <c r="G19" i="1"/>
  <c r="H19" i="1"/>
  <c r="E20" i="1"/>
  <c r="F20" i="1"/>
  <c r="G20" i="1"/>
  <c r="H20" i="1"/>
  <c r="E21" i="1"/>
  <c r="F21" i="1"/>
  <c r="G21" i="1"/>
  <c r="H21" i="1"/>
  <c r="F18" i="1"/>
  <c r="G18" i="1"/>
  <c r="H18" i="1"/>
  <c r="J14" i="1" l="1"/>
  <c r="K13" i="1"/>
  <c r="K26" i="2"/>
  <c r="K29" i="2"/>
  <c r="K28" i="2"/>
  <c r="S19" i="1"/>
  <c r="S17" i="1"/>
  <c r="S16" i="1"/>
  <c r="V19" i="1"/>
  <c r="V18" i="1"/>
  <c r="V17" i="1"/>
  <c r="V16" i="1"/>
  <c r="U16" i="1"/>
  <c r="U19" i="1"/>
  <c r="U18" i="1"/>
  <c r="U17" i="1"/>
  <c r="T16" i="1"/>
  <c r="T19" i="1"/>
  <c r="T18" i="1"/>
  <c r="T17" i="1"/>
  <c r="K11" i="1" l="1"/>
  <c r="M11" i="1"/>
  <c r="M14" i="1"/>
  <c r="K14" i="1"/>
  <c r="L12" i="1"/>
  <c r="L11" i="1"/>
  <c r="L13" i="1"/>
  <c r="M12" i="1"/>
  <c r="J12" i="1"/>
  <c r="K12" i="1"/>
  <c r="J13" i="1"/>
  <c r="L14" i="1"/>
  <c r="M13" i="1"/>
  <c r="K32" i="2"/>
  <c r="N36" i="2" l="1"/>
  <c r="N34" i="2"/>
  <c r="N33" i="2"/>
  <c r="N35" i="2"/>
  <c r="M35" i="2"/>
  <c r="M34" i="2"/>
  <c r="M33" i="2"/>
  <c r="L35" i="2"/>
  <c r="K34" i="2"/>
  <c r="L34" i="2"/>
  <c r="L36" i="2"/>
  <c r="L33" i="2"/>
  <c r="K33" i="2"/>
  <c r="M36" i="2"/>
  <c r="K35" i="2"/>
  <c r="K3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<sst xmlns="http://schemas.openxmlformats.org/spreadsheetml/2006/main" count="184" uniqueCount="165">
  <si>
    <t>P(x,y)+B</t>
  </si>
  <si>
    <t>Pixel con una vlaor de intensaidad agregado</t>
  </si>
  <si>
    <t>Resulta en matriz</t>
  </si>
  <si>
    <t>ACLARADO</t>
  </si>
  <si>
    <t>Lugar de cualquier posicion de la matriz</t>
  </si>
  <si>
    <t>Aclarado sube el valor de intensidad</t>
  </si>
  <si>
    <t>B= valor que ingresa el usuario</t>
  </si>
  <si>
    <t>Q(x,y)=P(x,y)+B</t>
  </si>
  <si>
    <t xml:space="preserve">todo lo anterior </t>
  </si>
  <si>
    <t>se guarda en una</t>
  </si>
  <si>
    <t>neuva matriz-&gt;</t>
  </si>
  <si>
    <t>Copiado</t>
  </si>
  <si>
    <t>Q(x,y)=P(x,y)</t>
  </si>
  <si>
    <t>Negativp</t>
  </si>
  <si>
    <t>Max matriz Nueva</t>
  </si>
  <si>
    <t>Maximo que debe por pixel</t>
  </si>
  <si>
    <t xml:space="preserve">Matriz  con normalización </t>
  </si>
  <si>
    <t>Q(x,y)=</t>
  </si>
  <si>
    <t>P(x,y)*255/MaxP(x,y)</t>
  </si>
  <si>
    <t>P(x,y)-MinP(x,y)</t>
  </si>
  <si>
    <t xml:space="preserve">Aumento, la  poroporcion se </t>
  </si>
  <si>
    <t>usa al revez porque invierte el foco de luz</t>
  </si>
  <si>
    <t>Intensidad maxima :</t>
  </si>
  <si>
    <t>Normalizacion</t>
  </si>
  <si>
    <t>de la luz completa</t>
  </si>
  <si>
    <t>Resultado de Inversion</t>
  </si>
  <si>
    <t>SHIFTING HORIZONTAL</t>
  </si>
  <si>
    <t xml:space="preserve"> </t>
  </si>
  <si>
    <t xml:space="preserve">Filtro </t>
  </si>
  <si>
    <t xml:space="preserve">por </t>
  </si>
  <si>
    <t>Mediana</t>
  </si>
  <si>
    <t>Ordenas de Menor a mayor</t>
  </si>
  <si>
    <t>Valores de intensidad de los pixeles</t>
  </si>
  <si>
    <t>Original</t>
  </si>
  <si>
    <t>promedio-&gt;</t>
  </si>
  <si>
    <t>Nueva comparada fuera del valor aceptable</t>
  </si>
  <si>
    <t>Este valor se sustituye por el valor de la mediana</t>
  </si>
  <si>
    <t>Aclarado</t>
  </si>
  <si>
    <t>Negativo</t>
  </si>
  <si>
    <t>Q(x,y) =255 - P(x,y)</t>
  </si>
  <si>
    <t xml:space="preserve">Elongación de contraste </t>
  </si>
  <si>
    <t>Paso 0</t>
  </si>
  <si>
    <t>Paso 1</t>
  </si>
  <si>
    <t>Paso2</t>
  </si>
  <si>
    <t>Para limitar al 255</t>
  </si>
  <si>
    <t>Desvordamiento hacia positivos</t>
  </si>
  <si>
    <t>Desvordamiento hacia los negativos</t>
  </si>
  <si>
    <t>El valor minimo negativo</t>
  </si>
  <si>
    <t>Caso de MIN</t>
  </si>
  <si>
    <t>Aquí para el 260 se ocupa una de max</t>
  </si>
  <si>
    <t>Esto es para que no se salga la integridad de salida de la imagen</t>
  </si>
  <si>
    <t>aumento de intensidad (34 -&gt;167)</t>
  </si>
  <si>
    <t>Disminucion del foco de luz  (PASO1)</t>
  </si>
  <si>
    <t>Para invertir la luminosidad agarras como base el 167</t>
  </si>
  <si>
    <t>PASO 2</t>
  </si>
  <si>
    <t>Nueva verison proporcion antigua</t>
  </si>
  <si>
    <t>PASO3</t>
  </si>
  <si>
    <t>PASO4</t>
  </si>
  <si>
    <t>Este operador puede resaltar un objeto que no es muy visible</t>
  </si>
  <si>
    <t>Centro del List</t>
  </si>
  <si>
    <t>PASO1</t>
  </si>
  <si>
    <t>Valor fuera de rango</t>
  </si>
  <si>
    <t>Paso3</t>
  </si>
  <si>
    <t>VALOR ABSOLUTO</t>
  </si>
  <si>
    <t>PASO 4</t>
  </si>
  <si>
    <t>Así lo identificamos</t>
  </si>
  <si>
    <t xml:space="preserve">Paso5 </t>
  </si>
  <si>
    <t>Nuevo orden</t>
  </si>
  <si>
    <t>DISTORCION</t>
  </si>
  <si>
    <t>No mas del 7% de distorción</t>
  </si>
  <si>
    <t>DISTORCION%</t>
  </si>
  <si>
    <t>CON LA MODA ES LO MISMO SOLO QUE CON MODA EN VEZ DE MEDIANA</t>
  </si>
  <si>
    <t>PASO 3</t>
  </si>
  <si>
    <t>PASO 6</t>
  </si>
  <si>
    <t>PASO 1</t>
  </si>
  <si>
    <t>PASO2</t>
  </si>
  <si>
    <t>PRIMER ORDEN</t>
  </si>
  <si>
    <t>45 VS N</t>
  </si>
  <si>
    <t>n</t>
  </si>
  <si>
    <t>56 v N</t>
  </si>
  <si>
    <t>65 vs N</t>
  </si>
  <si>
    <t xml:space="preserve"> 70 vs N</t>
  </si>
  <si>
    <t>81 vs N</t>
  </si>
  <si>
    <t>84 vs N</t>
  </si>
  <si>
    <t>88 vs N</t>
  </si>
  <si>
    <t>90 vs N</t>
  </si>
  <si>
    <t>216 vs N</t>
  </si>
  <si>
    <t>Sumatoria ABSOLUTA</t>
  </si>
  <si>
    <t xml:space="preserve">Mientras más cerca </t>
  </si>
  <si>
    <t>esté de la media (88.3)</t>
  </si>
  <si>
    <t xml:space="preserve">menor es la distancia </t>
  </si>
  <si>
    <t>neta entre ordenes</t>
  </si>
  <si>
    <t>de rango</t>
  </si>
  <si>
    <t>EL MÁS EFICIENTE</t>
  </si>
  <si>
    <t xml:space="preserve">SUSTITUIMOS </t>
  </si>
  <si>
    <t>EL EFICIENTE</t>
  </si>
  <si>
    <t>POR EL FUERA</t>
  </si>
  <si>
    <t>DE RANGO</t>
  </si>
  <si>
    <t>216-&gt; 81</t>
  </si>
  <si>
    <t xml:space="preserve">Ordenar de </t>
  </si>
  <si>
    <t xml:space="preserve">MENOR </t>
  </si>
  <si>
    <t>A</t>
  </si>
  <si>
    <t>MAYOR</t>
  </si>
  <si>
    <t>Sin repetir</t>
  </si>
  <si>
    <t>ni</t>
  </si>
  <si>
    <t xml:space="preserve">de </t>
  </si>
  <si>
    <t>cada una</t>
  </si>
  <si>
    <t>(ni) conteo</t>
  </si>
  <si>
    <t>N</t>
  </si>
  <si>
    <t>pi</t>
  </si>
  <si>
    <t>UTILIZAREMOS LAS FORMULAS DE LA FOTO</t>
  </si>
  <si>
    <t>PROMEDIO</t>
  </si>
  <si>
    <t>AGARRAMOS EL VALOR MÁS CERCANO</t>
  </si>
  <si>
    <t>π0</t>
  </si>
  <si>
    <t>π1</t>
  </si>
  <si>
    <t>SUMA DE LA PRIMER REGION</t>
  </si>
  <si>
    <t>SUMA DEL RESTO</t>
  </si>
  <si>
    <t>PASO 5</t>
  </si>
  <si>
    <t>VECTOR DE PERTENECIA</t>
  </si>
  <si>
    <t>µ0</t>
  </si>
  <si>
    <t>µ1</t>
  </si>
  <si>
    <t>PASO 7</t>
  </si>
  <si>
    <t>µ0i</t>
  </si>
  <si>
    <t>µ1i</t>
  </si>
  <si>
    <t>PASO 8</t>
  </si>
  <si>
    <t>µT</t>
  </si>
  <si>
    <t>i</t>
  </si>
  <si>
    <t>intensidad</t>
  </si>
  <si>
    <t>ƠB</t>
  </si>
  <si>
    <t>ƠT</t>
  </si>
  <si>
    <t>PASO 9</t>
  </si>
  <si>
    <t>HAY QUE HACER UNA DISMINUCIÓN DE LA VARIANZA</t>
  </si>
  <si>
    <t>EN FUNCIÓN DE LA SEPARACIÓN DEL UMBRAL</t>
  </si>
  <si>
    <t>ASÍ ENCONTRAMOS EL MEJOR VALOR DEL UMBRAL</t>
  </si>
  <si>
    <t>η</t>
  </si>
  <si>
    <t xml:space="preserve">ESTO SE REPITE CON VARIAS INTENSIDADES PARA VERIFICAR EL NEW </t>
  </si>
  <si>
    <t>PASO 10</t>
  </si>
  <si>
    <t>ENTROPIA</t>
  </si>
  <si>
    <t>INTERES</t>
  </si>
  <si>
    <t>PESO</t>
  </si>
  <si>
    <t xml:space="preserve">REGIONES DE </t>
  </si>
  <si>
    <t>H ( E )= - P (E ) logp(E)</t>
  </si>
  <si>
    <t>h/s</t>
  </si>
  <si>
    <t>es lo mismo que el pasado solo que con entropia</t>
  </si>
  <si>
    <t>DI = 10</t>
  </si>
  <si>
    <t>Diferencia de</t>
  </si>
  <si>
    <t>Intencidad</t>
  </si>
  <si>
    <t>Incia por 1° pixel</t>
  </si>
  <si>
    <t xml:space="preserve">Revisas por fila </t>
  </si>
  <si>
    <t>de menor orden</t>
  </si>
  <si>
    <t>dentro del DI</t>
  </si>
  <si>
    <t xml:space="preserve">Paso 2.1 </t>
  </si>
  <si>
    <t>Agregar cadidatos</t>
  </si>
  <si>
    <t>Si clasifican dentro de  DI 78 es Base</t>
  </si>
  <si>
    <t>a vecindario y ver si clasifican</t>
  </si>
  <si>
    <t>Paso 3</t>
  </si>
  <si>
    <t xml:space="preserve">El siguiente vecindario inica en </t>
  </si>
  <si>
    <t xml:space="preserve">La fila de menor orden con la </t>
  </si>
  <si>
    <t>celda menor orden</t>
  </si>
  <si>
    <t xml:space="preserve">El 97 de la 2° fila va primero </t>
  </si>
  <si>
    <t>porque estaba habilitado antes</t>
  </si>
  <si>
    <t>que el p2</t>
  </si>
  <si>
    <t>Q(x,y)=P(x,y)*G+B</t>
  </si>
  <si>
    <t>G =</t>
  </si>
  <si>
    <t>B=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</si>
</sst>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164" fontId="0" fillId="0" borderId="0" xfId="0" applyNumberFormat="1"/>
    <xf numFmtId="165" fontId="0" fillId="0" borderId="0" xfId="0" applyNumberFormat="1"/>
    <xf numFmtId="165" fontId="0" fillId="10" borderId="0" xfId="0" applyNumberFormat="1" applyFill="1"/>
    <xf numFmtId="165" fontId="0" fillId="2" borderId="0" xfId="0" applyNumberFormat="1" applyFill="1"/>
    <xf numFmtId="0" fontId="0" fillId="0" borderId="0" xfId="0" applyAlignment="1"/>
    <xf numFmtId="0" fontId="0" fillId="16" borderId="0" xfId="0" applyFill="1"/>
    <xf numFmtId="0" fontId="0" fillId="17" borderId="0" xfId="0" applyFill="1"/>
    <xf numFmtId="0" fontId="4" fillId="2" borderId="0" xfId="0" applyFont="1" applyFill="1"/>
    <xf numFmtId="0" fontId="4" fillId="0" borderId="0" xfId="0" applyFont="1"/>
    <xf numFmtId="0" fontId="4" fillId="14" borderId="0" xfId="0" applyFont="1" applyFill="1"/>
    <xf numFmtId="0" fontId="4" fillId="4" borderId="0" xfId="0" applyFont="1" applyFill="1"/>
    <xf numFmtId="0" fontId="4" fillId="10" borderId="0" xfId="0" applyFont="1" applyFill="1"/>
    <xf numFmtId="0" fontId="4" fillId="5" borderId="0" xfId="0" applyFont="1" applyFill="1"/>
    <xf numFmtId="0" fontId="6" fillId="18" borderId="0" xfId="0" applyFont="1" applyFill="1"/>
    <xf numFmtId="0" fontId="7" fillId="18" borderId="0" xfId="0" applyFont="1" applyFill="1"/>
    <xf numFmtId="0" fontId="0" fillId="18" borderId="0" xfId="0" applyFill="1"/>
    <xf numFmtId="0" fontId="0" fillId="15" borderId="0" xfId="0" applyFill="1"/>
    <xf numFmtId="0" fontId="4" fillId="18" borderId="0" xfId="0" applyFont="1" applyFill="1"/>
    <xf numFmtId="0" fontId="4" fillId="11" borderId="0" xfId="0" applyFont="1" applyFill="1"/>
    <xf numFmtId="0" fontId="4" fillId="11" borderId="1" xfId="0" applyFont="1" applyFill="1" applyBorder="1"/>
    <xf numFmtId="0" fontId="0" fillId="11" borderId="1" xfId="0" applyFill="1" applyBorder="1"/>
    <xf numFmtId="0" fontId="0" fillId="11" borderId="3" xfId="0" applyFill="1" applyBorder="1"/>
    <xf numFmtId="0" fontId="0" fillId="0" borderId="0" xfId="0" applyFill="1" applyBorder="1"/>
    <xf numFmtId="0" fontId="0" fillId="11" borderId="4" xfId="0" applyFill="1" applyBorder="1"/>
    <xf numFmtId="0" fontId="4" fillId="6" borderId="0" xfId="0" applyFont="1" applyFill="1"/>
    <xf numFmtId="0" fontId="0" fillId="6" borderId="4" xfId="0" applyFill="1" applyBorder="1"/>
    <xf numFmtId="0" fontId="0" fillId="19" borderId="0" xfId="0" applyFill="1" applyBorder="1"/>
    <xf numFmtId="0" fontId="0" fillId="17" borderId="1" xfId="0" applyFill="1" applyBorder="1"/>
    <xf numFmtId="0" fontId="0" fillId="17" borderId="0" xfId="0" applyFill="1" applyBorder="1"/>
    <xf numFmtId="0" fontId="0" fillId="20" borderId="0" xfId="0" applyFill="1"/>
    <xf numFmtId="0" fontId="0" fillId="21" borderId="0" xfId="0" applyFill="1"/>
    <xf numFmtId="165" fontId="0" fillId="21" borderId="0" xfId="0" applyNumberFormat="1" applyFill="1"/>
    <xf numFmtId="0" fontId="0" fillId="22" borderId="0" xfId="0" applyFill="1"/>
    <xf numFmtId="0" fontId="8" fillId="23" borderId="0" xfId="0" applyFont="1" applyFill="1"/>
    <xf numFmtId="165" fontId="0" fillId="23" borderId="0" xfId="0" applyNumberFormat="1" applyFill="1"/>
    <xf numFmtId="0" fontId="4" fillId="23" borderId="0" xfId="0" applyFont="1" applyFill="1"/>
    <xf numFmtId="0" fontId="4" fillId="21" borderId="0" xfId="0" applyFont="1" applyFill="1"/>
    <xf numFmtId="0" fontId="4" fillId="16" borderId="0" xfId="0" applyFont="1" applyFill="1"/>
    <xf numFmtId="0" fontId="4" fillId="22" borderId="0" xfId="0" applyFont="1" applyFill="1"/>
    <xf numFmtId="0" fontId="8" fillId="23" borderId="2" xfId="0" applyFont="1" applyFill="1" applyBorder="1"/>
    <xf numFmtId="0" fontId="9" fillId="0" borderId="0" xfId="0" applyFont="1"/>
    <xf numFmtId="0" fontId="9" fillId="24" borderId="1" xfId="0" applyFont="1" applyFill="1" applyBorder="1"/>
    <xf numFmtId="0" fontId="8" fillId="24" borderId="1" xfId="0" applyFont="1" applyFill="1" applyBorder="1"/>
    <xf numFmtId="0" fontId="0" fillId="24" borderId="1" xfId="0" applyFill="1" applyBorder="1"/>
    <xf numFmtId="0" fontId="4" fillId="24" borderId="0" xfId="0" applyFont="1" applyFill="1"/>
    <xf numFmtId="0" fontId="9" fillId="25" borderId="1" xfId="0" applyFont="1" applyFill="1" applyBorder="1"/>
    <xf numFmtId="0" fontId="8" fillId="25" borderId="1" xfId="0" applyFont="1" applyFill="1" applyBorder="1"/>
    <xf numFmtId="0" fontId="0" fillId="25" borderId="1" xfId="0" applyFill="1" applyBorder="1"/>
    <xf numFmtId="0" fontId="4" fillId="25" borderId="0" xfId="0" applyFont="1" applyFill="1"/>
    <xf numFmtId="0" fontId="0" fillId="24" borderId="4" xfId="0" applyFill="1" applyBorder="1"/>
    <xf numFmtId="0" fontId="0" fillId="25" borderId="4" xfId="0" applyFill="1" applyBorder="1"/>
    <xf numFmtId="2" fontId="0" fillId="22" borderId="0" xfId="0" applyNumberFormat="1" applyFill="1"/>
    <xf numFmtId="0" fontId="4" fillId="26" borderId="0" xfId="0" applyFont="1" applyFill="1"/>
    <xf numFmtId="0" fontId="8" fillId="26" borderId="1" xfId="0" applyFont="1" applyFill="1" applyBorder="1"/>
    <xf numFmtId="0" fontId="0" fillId="26" borderId="0" xfId="0" applyFill="1"/>
    <xf numFmtId="0" fontId="0" fillId="26" borderId="4" xfId="0" applyFill="1" applyBorder="1"/>
    <xf numFmtId="0" fontId="8" fillId="4" borderId="0" xfId="0" applyFont="1" applyFill="1"/>
    <xf numFmtId="165" fontId="0" fillId="4" borderId="0" xfId="0" applyNumberFormat="1" applyFill="1"/>
    <xf numFmtId="165" fontId="0" fillId="4" borderId="4" xfId="0" applyNumberFormat="1" applyFill="1" applyBorder="1"/>
    <xf numFmtId="0" fontId="0" fillId="27" borderId="0" xfId="0" applyFill="1"/>
    <xf numFmtId="0" fontId="8" fillId="27" borderId="0" xfId="0" applyFont="1" applyFill="1"/>
    <xf numFmtId="165" fontId="0" fillId="10" borderId="4" xfId="0" applyNumberFormat="1" applyFill="1" applyBorder="1"/>
    <xf numFmtId="164" fontId="0" fillId="5" borderId="0" xfId="0" applyNumberFormat="1" applyFill="1"/>
    <xf numFmtId="0" fontId="0" fillId="28" borderId="0" xfId="0" applyFill="1"/>
    <xf numFmtId="0" fontId="1" fillId="10" borderId="0" xfId="0" applyFont="1" applyFill="1"/>
    <xf numFmtId="0" fontId="1" fillId="5" borderId="0" xfId="0" applyFont="1" applyFill="1"/>
    <xf numFmtId="0" fontId="0" fillId="18" borderId="0" xfId="0" applyFill="1" applyAlignment="1">
      <alignment horizontal="center"/>
    </xf>
    <xf numFmtId="0" fontId="2" fillId="8" borderId="0" xfId="0" applyFont="1" applyFill="1"/>
    <xf numFmtId="0" fontId="11" fillId="2" borderId="0" xfId="0" applyFont="1" applyFill="1"/>
    <xf numFmtId="0" fontId="12" fillId="8" borderId="0" xfId="0" applyFont="1" applyFill="1"/>
    <xf numFmtId="0" fontId="11" fillId="17" borderId="0" xfId="0" applyFont="1" applyFill="1"/>
    <xf numFmtId="0" fontId="5" fillId="16" borderId="0" xfId="0" applyFont="1" applyFill="1"/>
    <xf numFmtId="0" fontId="0" fillId="29" borderId="0" xfId="0" applyFill="1"/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4" fillId="9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15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6" fillId="18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3" borderId="2" xfId="0" applyFill="1" applyBorder="1" applyAlignment="1">
      <alignment horizontal="center"/>
    </xf>
    <xf numFmtId="0" fontId="0" fillId="23" borderId="0" xfId="0" applyFill="1" applyBorder="1" applyAlignment="1">
      <alignment horizontal="center"/>
    </xf>
    <xf numFmtId="0" fontId="0" fillId="2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6699FF"/>
      <color rgb="FFFF99FF"/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746897</xdr:colOff>
      <xdr:row>13</xdr:row>
      <xdr:rowOff>53223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6C0A5FA-6BBA-4E41-AE54-58501C42A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16817" cy="2430663"/>
        </a:xfrm>
        <a:prstGeom prst="rect">
          <a:avLst/>
        </a:prstGeom>
      </xdr:spPr>
    </xdr:pic>
    <xdr:clientData/>
  </xdr:twoCellAnchor>
  <xdr:twoCellAnchor editAs="oneCell">
    <xdr:from>
      <xdr:col>4</xdr:col>
      <xdr:colOff>708661</xdr:colOff>
      <xdr:row>0</xdr:row>
      <xdr:rowOff>0</xdr:rowOff>
    </xdr:from>
    <xdr:to>
      <xdr:col>9</xdr:col>
      <xdr:colOff>1051561</xdr:colOff>
      <xdr:row>15</xdr:row>
      <xdr:rowOff>97327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76C176-CBDE-49EA-B667-671DC8F05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78581" y="0"/>
          <a:ext cx="4305300" cy="28405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7</xdr:col>
      <xdr:colOff>777240</xdr:colOff>
      <xdr:row>21</xdr:row>
      <xdr:rowOff>78058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ADB454-B7F1-4784-9C83-054754C73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6324600" cy="4192857"/>
        </a:xfrm>
        <a:prstGeom prst="rect">
          <a:avLst/>
        </a:prstGeom>
      </xdr:spPr>
    </xdr:pic>
    <xdr:clientData/>
  </xdr:twoCellAnchor>
  <xdr:twoCellAnchor editAs="oneCell">
    <xdr:from>
      <xdr:col>5</xdr:col>
      <xdr:colOff>365760</xdr:colOff>
      <xdr:row>49</xdr:row>
      <xdr:rowOff>175260</xdr:rowOff>
    </xdr:from>
    <xdr:to>
      <xdr:col>17</xdr:col>
      <xdr:colOff>363186</xdr:colOff>
      <xdr:row>83</xdr:row>
      <xdr:rowOff>101822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44E6FF-6080-4274-8362-3783E2F96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28160" y="9456420"/>
          <a:ext cx="8859486" cy="6144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21012</xdr:colOff>
      <xdr:row>24</xdr:row>
      <xdr:rowOff>99060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2534BBE-99B3-4348-B772-085159DDC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06572" cy="4488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A80B-0981-4824-A18D-1BA65DD5DA74}">
  <dimension ref="B2:V23"/>
  <sheetViews>
    <sheetView topLeftCell="C1" zoomScale="70" zoomScaleNormal="70" workbookViewId="0">
      <selection activeCell="P5" sqref="P5"/>
    </sheetView>
  </sheetViews>
  <sheetFormatPr baseColWidth="10" defaultRowHeight="15"/>
  <cols>
    <col min="3" max="3" width="37" bestFit="1" customWidth="1"/>
    <col min="4" max="4" width="16.140625" bestFit="1" customWidth="1"/>
    <col min="7" max="7" width="12.5703125" customWidth="1"/>
    <col min="11" max="11" width="36.5703125" bestFit="1" customWidth="1"/>
    <col min="14" max="14" width="11.5703125" customWidth="1"/>
  </cols>
  <sheetData>
    <row r="2" spans="2:22">
      <c r="C2" t="s">
        <v>6</v>
      </c>
      <c r="D2" t="s">
        <v>8</v>
      </c>
      <c r="G2" s="87" t="s">
        <v>50</v>
      </c>
      <c r="H2" s="87"/>
      <c r="I2" s="87"/>
      <c r="J2" s="87"/>
      <c r="K2" s="87"/>
      <c r="L2" s="87"/>
      <c r="M2" s="87"/>
    </row>
    <row r="3" spans="2:22">
      <c r="C3" t="s">
        <v>5</v>
      </c>
      <c r="D3" t="s">
        <v>9</v>
      </c>
    </row>
    <row r="4" spans="2:22">
      <c r="C4" t="s">
        <v>4</v>
      </c>
      <c r="D4" t="s">
        <v>10</v>
      </c>
      <c r="F4" t="s">
        <v>163</v>
      </c>
      <c r="G4">
        <v>1.5</v>
      </c>
    </row>
    <row r="5" spans="2:22">
      <c r="C5" t="s">
        <v>1</v>
      </c>
      <c r="D5" t="s">
        <v>2</v>
      </c>
      <c r="F5" t="s">
        <v>164</v>
      </c>
      <c r="G5">
        <v>30</v>
      </c>
    </row>
    <row r="6" spans="2:22">
      <c r="B6" t="s">
        <v>3</v>
      </c>
      <c r="C6" t="s">
        <v>0</v>
      </c>
      <c r="D6" s="4" t="s">
        <v>7</v>
      </c>
      <c r="E6" s="4" t="s">
        <v>37</v>
      </c>
    </row>
    <row r="7" spans="2:22" ht="21">
      <c r="B7" t="s">
        <v>11</v>
      </c>
      <c r="D7" s="5" t="s">
        <v>12</v>
      </c>
      <c r="E7" s="5" t="s">
        <v>11</v>
      </c>
      <c r="J7" s="85" t="s">
        <v>72</v>
      </c>
    </row>
    <row r="8" spans="2:22">
      <c r="B8" t="s">
        <v>13</v>
      </c>
      <c r="D8" s="6" t="s">
        <v>39</v>
      </c>
      <c r="E8" s="6" t="s">
        <v>38</v>
      </c>
    </row>
    <row r="9" spans="2:22">
      <c r="K9" t="s">
        <v>44</v>
      </c>
    </row>
    <row r="10" spans="2:22" ht="21">
      <c r="J10" s="88" t="s">
        <v>16</v>
      </c>
      <c r="K10" s="88"/>
      <c r="L10" s="2"/>
      <c r="M10" s="2"/>
      <c r="O10" s="90" t="s">
        <v>48</v>
      </c>
      <c r="P10" s="90"/>
      <c r="Q10" s="90"/>
      <c r="R10" s="90"/>
    </row>
    <row r="11" spans="2:22" ht="23.25">
      <c r="D11" s="84" t="s">
        <v>41</v>
      </c>
      <c r="E11" s="20">
        <v>230</v>
      </c>
      <c r="F11" s="20">
        <v>1</v>
      </c>
      <c r="G11" s="20">
        <v>245</v>
      </c>
      <c r="H11" s="20">
        <v>76</v>
      </c>
      <c r="J11" s="2">
        <f>ROUNDDOWN(E18*255/$J$18,0)</f>
        <v>240</v>
      </c>
      <c r="K11" s="2">
        <f t="shared" ref="K11:M11" si="0">ROUNDDOWN(F18*255/$J$18,0)</f>
        <v>19</v>
      </c>
      <c r="L11" s="2">
        <f t="shared" si="0"/>
        <v>255</v>
      </c>
      <c r="M11" s="2">
        <f t="shared" si="0"/>
        <v>92</v>
      </c>
      <c r="O11" s="5">
        <v>240</v>
      </c>
      <c r="P11" s="5">
        <v>19</v>
      </c>
      <c r="Q11" s="5">
        <v>250</v>
      </c>
      <c r="R11" s="5">
        <v>92</v>
      </c>
      <c r="T11" s="5">
        <f>MIN(O11:R14)</f>
        <v>-5</v>
      </c>
    </row>
    <row r="12" spans="2:22">
      <c r="E12" s="20">
        <v>132</v>
      </c>
      <c r="F12" s="20">
        <v>132</v>
      </c>
      <c r="G12" s="20">
        <v>211</v>
      </c>
      <c r="H12" s="20">
        <v>65</v>
      </c>
      <c r="J12" s="2">
        <f t="shared" ref="J12:J14" si="1">ROUNDDOWN(E19*255/$J$18,0)</f>
        <v>146</v>
      </c>
      <c r="K12" s="2">
        <f t="shared" ref="K12:K14" si="2">ROUNDDOWN(F19*255/$J$18,0)</f>
        <v>146</v>
      </c>
      <c r="L12" s="2">
        <f t="shared" ref="L12:L14" si="3">ROUNDDOWN(G19*255/$J$18,0)</f>
        <v>222</v>
      </c>
      <c r="M12" s="2">
        <f t="shared" ref="M12:M14" si="4">ROUNDDOWN(H19*255/$J$18,0)</f>
        <v>81</v>
      </c>
      <c r="O12" s="5">
        <v>146</v>
      </c>
      <c r="P12" s="5">
        <v>146</v>
      </c>
      <c r="Q12" s="5">
        <v>222</v>
      </c>
      <c r="R12" s="5">
        <v>81</v>
      </c>
    </row>
    <row r="13" spans="2:22">
      <c r="E13" s="20">
        <v>116</v>
      </c>
      <c r="F13" s="20">
        <v>121</v>
      </c>
      <c r="G13" s="20">
        <v>57</v>
      </c>
      <c r="H13" s="20">
        <v>91</v>
      </c>
      <c r="J13" s="2">
        <f t="shared" si="1"/>
        <v>131</v>
      </c>
      <c r="K13" s="2">
        <f t="shared" si="2"/>
        <v>135</v>
      </c>
      <c r="L13" s="2">
        <f t="shared" si="3"/>
        <v>73</v>
      </c>
      <c r="M13" s="2">
        <f t="shared" si="4"/>
        <v>106</v>
      </c>
      <c r="O13" s="5">
        <v>131</v>
      </c>
      <c r="P13" s="5">
        <v>135</v>
      </c>
      <c r="Q13" s="5">
        <v>73</v>
      </c>
      <c r="R13" s="5">
        <v>106</v>
      </c>
    </row>
    <row r="14" spans="2:22">
      <c r="E14" s="20">
        <v>167</v>
      </c>
      <c r="F14" s="20">
        <v>184</v>
      </c>
      <c r="G14" s="20">
        <v>37</v>
      </c>
      <c r="H14" s="20">
        <v>79</v>
      </c>
      <c r="J14" s="2">
        <f t="shared" si="1"/>
        <v>179</v>
      </c>
      <c r="K14" s="2">
        <f t="shared" si="2"/>
        <v>196</v>
      </c>
      <c r="L14" s="2">
        <f t="shared" si="3"/>
        <v>54</v>
      </c>
      <c r="M14" s="2">
        <f t="shared" si="4"/>
        <v>95</v>
      </c>
      <c r="O14" s="5">
        <v>179</v>
      </c>
      <c r="P14" s="5">
        <v>196</v>
      </c>
      <c r="Q14" s="86">
        <v>-5</v>
      </c>
      <c r="R14" s="5">
        <v>95</v>
      </c>
    </row>
    <row r="15" spans="2:22">
      <c r="Q15" s="2"/>
      <c r="S15" s="87" t="s">
        <v>49</v>
      </c>
      <c r="T15" s="87"/>
      <c r="U15" s="87"/>
      <c r="V15" s="87"/>
    </row>
    <row r="16" spans="2:22">
      <c r="S16" s="5">
        <f>O11-$T$11</f>
        <v>245</v>
      </c>
      <c r="T16" s="5">
        <f t="shared" ref="T16:U16" si="5">P11-$T$11</f>
        <v>24</v>
      </c>
      <c r="U16" s="5">
        <f t="shared" si="5"/>
        <v>255</v>
      </c>
      <c r="V16" s="5">
        <f>R11-$T$11</f>
        <v>97</v>
      </c>
    </row>
    <row r="17" spans="4:22">
      <c r="E17" s="89" t="s">
        <v>40</v>
      </c>
      <c r="F17" s="89"/>
      <c r="G17" s="89"/>
      <c r="H17" s="89"/>
      <c r="S17" s="5">
        <f t="shared" ref="S17:S19" si="6">O12-$T$11</f>
        <v>151</v>
      </c>
      <c r="T17" s="5">
        <f t="shared" ref="T17:T19" si="7">P12-$T$11</f>
        <v>151</v>
      </c>
      <c r="U17" s="5">
        <f t="shared" ref="U17:V19" si="8">Q12-$T$11</f>
        <v>227</v>
      </c>
      <c r="V17" s="5">
        <f t="shared" si="8"/>
        <v>86</v>
      </c>
    </row>
    <row r="18" spans="4:22" ht="23.25">
      <c r="D18" s="83" t="s">
        <v>42</v>
      </c>
      <c r="E18" s="7">
        <f>ROUNDDOWN(E11*1.5+30,0)</f>
        <v>375</v>
      </c>
      <c r="F18" s="7">
        <f t="shared" ref="F18:H18" si="9">ROUNDDOWN(F11*1.5+30,0)</f>
        <v>31</v>
      </c>
      <c r="G18" s="7">
        <f t="shared" si="9"/>
        <v>397</v>
      </c>
      <c r="H18" s="7">
        <f t="shared" si="9"/>
        <v>144</v>
      </c>
      <c r="J18" s="1">
        <f xml:space="preserve"> MAX(E18:H21)</f>
        <v>397</v>
      </c>
      <c r="K18" s="1" t="s">
        <v>14</v>
      </c>
      <c r="L18" s="82" t="s">
        <v>43</v>
      </c>
      <c r="S18" s="5">
        <f t="shared" si="6"/>
        <v>136</v>
      </c>
      <c r="T18" s="5">
        <f t="shared" si="7"/>
        <v>140</v>
      </c>
      <c r="U18" s="5">
        <f t="shared" si="8"/>
        <v>78</v>
      </c>
      <c r="V18" s="5">
        <f t="shared" ref="V18:V19" si="10">R13-$T$11</f>
        <v>111</v>
      </c>
    </row>
    <row r="19" spans="4:22">
      <c r="D19" s="81" t="s">
        <v>162</v>
      </c>
      <c r="E19" s="7">
        <f t="shared" ref="E19:H19" si="11">ROUNDDOWN(E12*1.5+30,0)</f>
        <v>228</v>
      </c>
      <c r="F19" s="7">
        <f t="shared" si="11"/>
        <v>228</v>
      </c>
      <c r="G19" s="7">
        <f t="shared" si="11"/>
        <v>346</v>
      </c>
      <c r="H19" s="7">
        <f t="shared" si="11"/>
        <v>127</v>
      </c>
      <c r="J19">
        <v>255</v>
      </c>
      <c r="K19" t="s">
        <v>15</v>
      </c>
      <c r="S19" s="5">
        <f t="shared" si="6"/>
        <v>184</v>
      </c>
      <c r="T19" s="5">
        <f t="shared" si="7"/>
        <v>201</v>
      </c>
      <c r="U19" s="5">
        <f t="shared" si="8"/>
        <v>0</v>
      </c>
      <c r="V19" s="5">
        <f t="shared" si="10"/>
        <v>100</v>
      </c>
    </row>
    <row r="20" spans="4:22">
      <c r="E20" s="7">
        <f t="shared" ref="E20:H20" si="12">ROUNDDOWN(E13*1.5+30,0)</f>
        <v>204</v>
      </c>
      <c r="F20" s="7">
        <f t="shared" si="12"/>
        <v>211</v>
      </c>
      <c r="G20" s="7">
        <f t="shared" si="12"/>
        <v>115</v>
      </c>
      <c r="H20" s="7">
        <f t="shared" si="12"/>
        <v>166</v>
      </c>
    </row>
    <row r="21" spans="4:22">
      <c r="E21" s="7">
        <f t="shared" ref="E21:H21" si="13">ROUNDDOWN(E14*1.5+30,0)</f>
        <v>280</v>
      </c>
      <c r="F21" s="7">
        <f t="shared" si="13"/>
        <v>306</v>
      </c>
      <c r="G21" s="7">
        <f t="shared" si="13"/>
        <v>85</v>
      </c>
      <c r="H21" s="7">
        <f t="shared" si="13"/>
        <v>148</v>
      </c>
    </row>
    <row r="22" spans="4:22">
      <c r="J22" t="s">
        <v>17</v>
      </c>
      <c r="K22" t="s">
        <v>18</v>
      </c>
      <c r="L22" s="87" t="s">
        <v>45</v>
      </c>
      <c r="M22" s="87"/>
      <c r="N22" s="87"/>
    </row>
    <row r="23" spans="4:22">
      <c r="J23" t="s">
        <v>17</v>
      </c>
      <c r="K23" t="s">
        <v>19</v>
      </c>
      <c r="L23" s="87" t="s">
        <v>46</v>
      </c>
      <c r="M23" s="87"/>
      <c r="N23" s="87"/>
      <c r="O23" s="87" t="s">
        <v>47</v>
      </c>
      <c r="P23" s="87"/>
    </row>
  </sheetData>
  <mergeCells count="8">
    <mergeCell ref="S15:V15"/>
    <mergeCell ref="G2:M2"/>
    <mergeCell ref="J10:K10"/>
    <mergeCell ref="E17:H17"/>
    <mergeCell ref="L23:N23"/>
    <mergeCell ref="L22:N22"/>
    <mergeCell ref="O23:P23"/>
    <mergeCell ref="O10:R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24FB-8623-4A05-AB57-671B6A47D1FC}">
  <dimension ref="D1:Q36"/>
  <sheetViews>
    <sheetView zoomScale="70" zoomScaleNormal="70" workbookViewId="0">
      <selection activeCell="D25" sqref="D25"/>
    </sheetView>
  </sheetViews>
  <sheetFormatPr baseColWidth="10" defaultRowHeight="15"/>
  <cols>
    <col min="10" max="10" width="34.85546875" bestFit="1" customWidth="1"/>
  </cols>
  <sheetData>
    <row r="1" spans="11:13">
      <c r="K1" s="91">
        <v>44425</v>
      </c>
      <c r="L1" s="87"/>
      <c r="M1" s="87"/>
    </row>
    <row r="22" spans="4:17">
      <c r="D22" s="93" t="s">
        <v>26</v>
      </c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</row>
    <row r="24" spans="4:17" ht="18.75">
      <c r="D24" s="92" t="s">
        <v>52</v>
      </c>
      <c r="E24" s="92"/>
      <c r="F24" s="92"/>
      <c r="G24" s="92"/>
      <c r="J24" s="4" t="s">
        <v>20</v>
      </c>
      <c r="K24" s="95" t="s">
        <v>53</v>
      </c>
      <c r="L24" s="95"/>
      <c r="M24" s="95"/>
      <c r="N24" s="95"/>
      <c r="O24" s="22" t="s">
        <v>54</v>
      </c>
    </row>
    <row r="25" spans="4:17">
      <c r="D25" s="8">
        <f>E26/D26</f>
        <v>2.2352941176470589</v>
      </c>
      <c r="E25" s="8">
        <f>F26/E26</f>
        <v>1.6842105263157894</v>
      </c>
      <c r="F25" s="8">
        <f>G26/F26</f>
        <v>1.3046875</v>
      </c>
      <c r="G25" s="8"/>
      <c r="J25" s="4" t="s">
        <v>21</v>
      </c>
      <c r="L25" s="96" t="s">
        <v>55</v>
      </c>
      <c r="M25" s="96"/>
      <c r="N25" s="96"/>
    </row>
    <row r="26" spans="4:17">
      <c r="D26" s="5">
        <v>34</v>
      </c>
      <c r="E26" s="5">
        <v>76</v>
      </c>
      <c r="F26" s="5">
        <v>128</v>
      </c>
      <c r="G26" s="5">
        <v>167</v>
      </c>
      <c r="H26" s="94" t="s">
        <v>51</v>
      </c>
      <c r="I26" s="94"/>
      <c r="J26" s="94"/>
      <c r="K26">
        <f t="shared" ref="K26:L29" si="0">ROUNDDOWN(L26*E26/D26,0)</f>
        <v>815</v>
      </c>
      <c r="L26" s="9">
        <f t="shared" si="0"/>
        <v>365</v>
      </c>
      <c r="M26" s="10">
        <f>ROUNDDOWN(N26*N26/F26,0)</f>
        <v>217</v>
      </c>
      <c r="N26" s="4">
        <v>167</v>
      </c>
    </row>
    <row r="27" spans="4:17">
      <c r="D27">
        <v>56</v>
      </c>
      <c r="E27">
        <v>88</v>
      </c>
      <c r="F27">
        <v>136</v>
      </c>
      <c r="G27">
        <v>175</v>
      </c>
      <c r="K27">
        <f t="shared" si="0"/>
        <v>545</v>
      </c>
      <c r="L27" s="9">
        <f t="shared" si="0"/>
        <v>347</v>
      </c>
      <c r="M27">
        <f>ROUNDDOWN(N27*N27/F27,0)</f>
        <v>225</v>
      </c>
      <c r="N27" s="4">
        <v>175</v>
      </c>
    </row>
    <row r="28" spans="4:17">
      <c r="D28">
        <v>79</v>
      </c>
      <c r="E28">
        <v>96</v>
      </c>
      <c r="F28">
        <v>145</v>
      </c>
      <c r="G28">
        <v>188</v>
      </c>
      <c r="K28">
        <f t="shared" si="0"/>
        <v>445</v>
      </c>
      <c r="L28" s="9">
        <f t="shared" si="0"/>
        <v>367</v>
      </c>
      <c r="M28">
        <f>ROUNDDOWN(N28*N28/F28,0)</f>
        <v>243</v>
      </c>
      <c r="N28" s="4">
        <v>188</v>
      </c>
    </row>
    <row r="29" spans="4:17">
      <c r="D29">
        <v>91</v>
      </c>
      <c r="E29">
        <v>121</v>
      </c>
      <c r="F29">
        <v>167</v>
      </c>
      <c r="G29">
        <v>194</v>
      </c>
      <c r="K29">
        <f t="shared" si="0"/>
        <v>412</v>
      </c>
      <c r="L29" s="9">
        <f t="shared" si="0"/>
        <v>310</v>
      </c>
      <c r="M29">
        <f>ROUNDDOWN(N29*N29/F29,0)</f>
        <v>225</v>
      </c>
      <c r="N29" s="4">
        <v>194</v>
      </c>
    </row>
    <row r="31" spans="4:17">
      <c r="D31" s="87" t="s">
        <v>58</v>
      </c>
      <c r="E31" s="87"/>
      <c r="F31" s="87"/>
      <c r="G31" s="87"/>
      <c r="H31" s="87"/>
    </row>
    <row r="32" spans="4:17" ht="18.75">
      <c r="I32" s="22" t="s">
        <v>56</v>
      </c>
      <c r="J32" s="11" t="s">
        <v>22</v>
      </c>
      <c r="K32" s="11">
        <f>MAX(K26:N29)</f>
        <v>815</v>
      </c>
    </row>
    <row r="33" spans="9:14">
      <c r="J33" s="12" t="s">
        <v>23</v>
      </c>
      <c r="K33" s="12">
        <f t="shared" ref="K33:N36" si="1">ROUNDDOWN(K26*255/$K$32,0)</f>
        <v>255</v>
      </c>
      <c r="L33" s="12">
        <f t="shared" si="1"/>
        <v>114</v>
      </c>
      <c r="M33" s="12">
        <f t="shared" si="1"/>
        <v>67</v>
      </c>
      <c r="N33" s="12">
        <f t="shared" si="1"/>
        <v>52</v>
      </c>
    </row>
    <row r="34" spans="9:14" ht="18.75">
      <c r="I34" s="22" t="s">
        <v>57</v>
      </c>
      <c r="J34" s="12" t="s">
        <v>25</v>
      </c>
      <c r="K34" s="12">
        <f t="shared" si="1"/>
        <v>170</v>
      </c>
      <c r="L34" s="12">
        <f t="shared" si="1"/>
        <v>108</v>
      </c>
      <c r="M34" s="12">
        <f t="shared" si="1"/>
        <v>70</v>
      </c>
      <c r="N34" s="12">
        <f t="shared" si="1"/>
        <v>54</v>
      </c>
    </row>
    <row r="35" spans="9:14">
      <c r="J35" s="12" t="s">
        <v>24</v>
      </c>
      <c r="K35" s="12">
        <f t="shared" si="1"/>
        <v>139</v>
      </c>
      <c r="L35" s="12">
        <f t="shared" si="1"/>
        <v>114</v>
      </c>
      <c r="M35" s="12">
        <f t="shared" si="1"/>
        <v>76</v>
      </c>
      <c r="N35" s="12">
        <f t="shared" si="1"/>
        <v>58</v>
      </c>
    </row>
    <row r="36" spans="9:14">
      <c r="J36" s="12"/>
      <c r="K36" s="12">
        <f t="shared" si="1"/>
        <v>128</v>
      </c>
      <c r="L36" s="12">
        <f t="shared" si="1"/>
        <v>96</v>
      </c>
      <c r="M36" s="12">
        <f t="shared" si="1"/>
        <v>70</v>
      </c>
      <c r="N36" s="12">
        <f t="shared" si="1"/>
        <v>60</v>
      </c>
    </row>
  </sheetData>
  <mergeCells count="7">
    <mergeCell ref="D31:H31"/>
    <mergeCell ref="K1:M1"/>
    <mergeCell ref="D24:G24"/>
    <mergeCell ref="D22:Q22"/>
    <mergeCell ref="H26:J26"/>
    <mergeCell ref="K24:N24"/>
    <mergeCell ref="L25:N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824B-91E2-4C13-9469-143A591F06EC}">
  <dimension ref="A1:Q21"/>
  <sheetViews>
    <sheetView topLeftCell="K1" workbookViewId="0">
      <selection activeCell="P29" sqref="P29"/>
    </sheetView>
  </sheetViews>
  <sheetFormatPr baseColWidth="10" defaultRowHeight="15"/>
  <cols>
    <col min="6" max="6" width="12.7109375" bestFit="1" customWidth="1"/>
    <col min="8" max="8" width="12.7109375" bestFit="1" customWidth="1"/>
    <col min="9" max="9" width="16.85546875" bestFit="1" customWidth="1"/>
    <col min="10" max="10" width="16.140625" bestFit="1" customWidth="1"/>
    <col min="11" max="11" width="12.85546875" bestFit="1" customWidth="1"/>
  </cols>
  <sheetData>
    <row r="1" spans="1:17">
      <c r="A1" s="3"/>
      <c r="B1" s="3" t="s">
        <v>28</v>
      </c>
      <c r="C1" s="3" t="s">
        <v>29</v>
      </c>
      <c r="D1" s="3" t="s">
        <v>30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7" ht="18.75">
      <c r="J2" s="25" t="s">
        <v>64</v>
      </c>
      <c r="M2" s="26" t="s">
        <v>66</v>
      </c>
      <c r="N2" s="87" t="s">
        <v>67</v>
      </c>
      <c r="O2" s="87"/>
    </row>
    <row r="3" spans="1:17" ht="18.75">
      <c r="A3" t="s">
        <v>33</v>
      </c>
      <c r="F3" s="23" t="s">
        <v>60</v>
      </c>
      <c r="G3" s="99" t="s">
        <v>31</v>
      </c>
      <c r="H3" s="99"/>
      <c r="J3" s="9" t="s">
        <v>63</v>
      </c>
      <c r="K3" t="s">
        <v>70</v>
      </c>
      <c r="M3" s="95" t="s">
        <v>32</v>
      </c>
      <c r="N3" s="95"/>
      <c r="O3" s="95"/>
    </row>
    <row r="4" spans="1:17">
      <c r="A4">
        <v>173</v>
      </c>
      <c r="B4">
        <v>176</v>
      </c>
      <c r="C4">
        <v>178</v>
      </c>
      <c r="J4" s="16">
        <f>ABS(G$14-G5)</f>
        <v>11.666666666666657</v>
      </c>
      <c r="K4" s="15">
        <f>J4*100/G$14</f>
        <v>6.3176895306859153</v>
      </c>
      <c r="M4" s="4">
        <f t="shared" ref="M4:M11" si="0">ABS(E$50-G5)</f>
        <v>173</v>
      </c>
    </row>
    <row r="5" spans="1:17">
      <c r="A5">
        <v>175</v>
      </c>
      <c r="B5">
        <v>178</v>
      </c>
      <c r="C5">
        <v>180</v>
      </c>
      <c r="F5" t="s">
        <v>27</v>
      </c>
      <c r="G5" s="13">
        <v>173</v>
      </c>
      <c r="J5" s="16">
        <f t="shared" ref="J5:J12" si="1">ABS(G$14-G6)</f>
        <v>9.6666666666666572</v>
      </c>
      <c r="K5" s="15">
        <f t="shared" ref="K5:K12" si="2">J5*100/G$14</f>
        <v>5.2346570397111867</v>
      </c>
      <c r="M5" s="4">
        <f t="shared" si="0"/>
        <v>175</v>
      </c>
    </row>
    <row r="6" spans="1:17">
      <c r="A6">
        <v>178</v>
      </c>
      <c r="B6">
        <v>181</v>
      </c>
      <c r="C6" s="1">
        <v>243</v>
      </c>
      <c r="D6" s="101" t="s">
        <v>61</v>
      </c>
      <c r="E6" s="101"/>
      <c r="G6" s="13">
        <v>175</v>
      </c>
      <c r="J6" s="16">
        <f t="shared" si="1"/>
        <v>8.6666666666666572</v>
      </c>
      <c r="K6" s="15">
        <f t="shared" si="2"/>
        <v>4.6931407942238215</v>
      </c>
      <c r="M6" s="4">
        <f t="shared" si="0"/>
        <v>176</v>
      </c>
    </row>
    <row r="7" spans="1:17">
      <c r="G7" s="13">
        <v>176</v>
      </c>
      <c r="J7" s="16">
        <f t="shared" si="1"/>
        <v>6.6666666666666572</v>
      </c>
      <c r="K7" s="15">
        <f t="shared" si="2"/>
        <v>3.6101083032490924</v>
      </c>
      <c r="M7" s="4">
        <f t="shared" si="0"/>
        <v>178</v>
      </c>
    </row>
    <row r="8" spans="1:17" ht="18.75">
      <c r="A8" s="28" t="s">
        <v>73</v>
      </c>
      <c r="B8" s="27"/>
      <c r="C8" s="27"/>
      <c r="G8" s="13">
        <v>178</v>
      </c>
      <c r="J8" s="16">
        <f t="shared" si="1"/>
        <v>6.6666666666666572</v>
      </c>
      <c r="K8" s="15">
        <f t="shared" si="2"/>
        <v>3.6101083032490924</v>
      </c>
      <c r="M8" s="4">
        <f t="shared" si="0"/>
        <v>178</v>
      </c>
    </row>
    <row r="9" spans="1:17" ht="18.75">
      <c r="A9" s="100" t="s">
        <v>35</v>
      </c>
      <c r="B9" s="100"/>
      <c r="C9" s="100"/>
      <c r="E9" s="24" t="s">
        <v>43</v>
      </c>
      <c r="F9" s="3" t="s">
        <v>30</v>
      </c>
      <c r="G9" s="3">
        <v>178</v>
      </c>
      <c r="H9" s="3" t="s">
        <v>59</v>
      </c>
      <c r="J9" s="16">
        <f t="shared" si="1"/>
        <v>6.6666666666666572</v>
      </c>
      <c r="K9" s="15">
        <f t="shared" si="2"/>
        <v>3.6101083032490924</v>
      </c>
      <c r="M9" s="4">
        <f t="shared" si="0"/>
        <v>178</v>
      </c>
    </row>
    <row r="10" spans="1:17">
      <c r="A10" s="27">
        <v>173</v>
      </c>
      <c r="B10" s="27">
        <v>176</v>
      </c>
      <c r="C10" s="27">
        <v>178</v>
      </c>
      <c r="G10" s="13">
        <v>178</v>
      </c>
      <c r="J10" s="16">
        <f t="shared" si="1"/>
        <v>4.6666666666666572</v>
      </c>
      <c r="K10" s="15">
        <f t="shared" si="2"/>
        <v>2.5270758122743633</v>
      </c>
      <c r="M10" s="4">
        <f t="shared" si="0"/>
        <v>180</v>
      </c>
    </row>
    <row r="11" spans="1:17">
      <c r="A11" s="27">
        <v>175</v>
      </c>
      <c r="B11" s="27">
        <v>178</v>
      </c>
      <c r="C11" s="27">
        <v>180</v>
      </c>
      <c r="G11" s="13">
        <v>180</v>
      </c>
      <c r="J11" s="16">
        <f t="shared" si="1"/>
        <v>3.6666666666666572</v>
      </c>
      <c r="K11" s="15">
        <f t="shared" si="2"/>
        <v>1.9855595667869985</v>
      </c>
      <c r="M11" s="4">
        <f t="shared" si="0"/>
        <v>181</v>
      </c>
    </row>
    <row r="12" spans="1:17">
      <c r="A12" s="27">
        <v>178</v>
      </c>
      <c r="B12" s="27">
        <v>181</v>
      </c>
      <c r="C12" s="27">
        <v>178</v>
      </c>
      <c r="G12" s="13">
        <v>181</v>
      </c>
      <c r="I12" s="1" t="s">
        <v>65</v>
      </c>
      <c r="J12" s="17">
        <f t="shared" si="1"/>
        <v>58.333333333333343</v>
      </c>
      <c r="K12" s="17">
        <f t="shared" si="2"/>
        <v>31.588447653429608</v>
      </c>
      <c r="M12" s="3">
        <v>178</v>
      </c>
      <c r="N12" s="95" t="s">
        <v>36</v>
      </c>
      <c r="O12" s="95"/>
      <c r="P12" s="95"/>
      <c r="Q12" s="95"/>
    </row>
    <row r="13" spans="1:17">
      <c r="G13" s="1">
        <v>243</v>
      </c>
      <c r="J13" s="97" t="s">
        <v>69</v>
      </c>
      <c r="K13" s="97"/>
    </row>
    <row r="14" spans="1:17" ht="18.75">
      <c r="E14" s="21" t="s">
        <v>62</v>
      </c>
      <c r="F14" s="1" t="s">
        <v>34</v>
      </c>
      <c r="G14" s="1">
        <f>AVERAGE(G5:G13)</f>
        <v>184.66666666666666</v>
      </c>
    </row>
    <row r="18" spans="1:6">
      <c r="A18" s="98" t="s">
        <v>71</v>
      </c>
      <c r="B18" s="98"/>
      <c r="C18" s="98"/>
      <c r="D18" s="98"/>
      <c r="E18" s="98"/>
      <c r="F18" s="98"/>
    </row>
    <row r="19" spans="1:6">
      <c r="A19" s="18"/>
      <c r="B19" s="18"/>
      <c r="C19" s="18"/>
      <c r="D19" s="18"/>
    </row>
    <row r="21" spans="1:6">
      <c r="A21" s="91">
        <v>44432</v>
      </c>
      <c r="B21" s="87"/>
      <c r="C21" s="87"/>
      <c r="D21" s="87"/>
    </row>
  </sheetData>
  <mergeCells count="9">
    <mergeCell ref="N12:Q12"/>
    <mergeCell ref="D6:E6"/>
    <mergeCell ref="M3:O3"/>
    <mergeCell ref="N2:O2"/>
    <mergeCell ref="J13:K13"/>
    <mergeCell ref="A18:F18"/>
    <mergeCell ref="A21:D21"/>
    <mergeCell ref="G3:H3"/>
    <mergeCell ref="A9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01152-F7D6-4C20-9D35-57BACD3896DA}">
  <dimension ref="F1:W48"/>
  <sheetViews>
    <sheetView topLeftCell="G16" workbookViewId="0">
      <selection activeCell="N58" sqref="N58"/>
    </sheetView>
  </sheetViews>
  <sheetFormatPr baseColWidth="10" defaultRowHeight="15"/>
  <cols>
    <col min="10" max="10" width="7.5703125" bestFit="1" customWidth="1"/>
    <col min="11" max="11" width="6.42578125" customWidth="1"/>
    <col min="12" max="12" width="8" bestFit="1" customWidth="1"/>
    <col min="13" max="13" width="4" bestFit="1" customWidth="1"/>
    <col min="14" max="14" width="14.7109375" bestFit="1" customWidth="1"/>
    <col min="15" max="15" width="13.28515625" customWidth="1"/>
    <col min="16" max="16" width="14.7109375" bestFit="1" customWidth="1"/>
    <col min="17" max="17" width="14.28515625" customWidth="1"/>
  </cols>
  <sheetData>
    <row r="1" spans="9:22">
      <c r="I1" s="103" t="s">
        <v>110</v>
      </c>
      <c r="J1" s="103"/>
      <c r="K1" s="103"/>
      <c r="L1" s="103"/>
      <c r="M1" s="103"/>
      <c r="N1" s="103"/>
      <c r="O1" s="103"/>
    </row>
    <row r="2" spans="9:22">
      <c r="I2" s="103" t="s">
        <v>135</v>
      </c>
      <c r="J2" s="103"/>
      <c r="K2" s="103"/>
      <c r="L2" s="103"/>
      <c r="M2" s="103"/>
      <c r="N2" s="103"/>
      <c r="O2" s="103"/>
    </row>
    <row r="5" spans="9:22">
      <c r="J5">
        <v>127</v>
      </c>
      <c r="K5">
        <v>122</v>
      </c>
      <c r="L5">
        <v>177</v>
      </c>
      <c r="M5">
        <v>189</v>
      </c>
      <c r="S5" s="108" t="s">
        <v>136</v>
      </c>
      <c r="T5" s="108"/>
      <c r="U5" s="108"/>
      <c r="V5" s="108"/>
    </row>
    <row r="6" spans="9:22">
      <c r="J6">
        <v>85</v>
      </c>
      <c r="K6">
        <v>73</v>
      </c>
      <c r="L6">
        <v>127</v>
      </c>
      <c r="M6">
        <v>139</v>
      </c>
      <c r="S6" s="108" t="s">
        <v>131</v>
      </c>
      <c r="T6" s="108"/>
      <c r="U6" s="108"/>
      <c r="V6" s="108"/>
    </row>
    <row r="7" spans="9:22" ht="18.75">
      <c r="J7">
        <v>75</v>
      </c>
      <c r="K7">
        <v>61</v>
      </c>
      <c r="L7">
        <v>102</v>
      </c>
      <c r="M7">
        <v>128</v>
      </c>
      <c r="O7" s="49" t="s">
        <v>117</v>
      </c>
      <c r="S7" s="108" t="s">
        <v>132</v>
      </c>
      <c r="T7" s="108"/>
      <c r="U7" s="108"/>
      <c r="V7" s="108"/>
    </row>
    <row r="8" spans="9:22" ht="18.75">
      <c r="J8">
        <v>58</v>
      </c>
      <c r="K8">
        <v>40</v>
      </c>
      <c r="L8">
        <v>84</v>
      </c>
      <c r="M8">
        <v>108</v>
      </c>
      <c r="N8" s="105" t="s">
        <v>115</v>
      </c>
      <c r="O8" s="105"/>
      <c r="P8" s="106" t="s">
        <v>116</v>
      </c>
      <c r="Q8" s="107"/>
      <c r="R8" s="66" t="s">
        <v>124</v>
      </c>
      <c r="S8" s="108" t="s">
        <v>133</v>
      </c>
      <c r="T8" s="108"/>
      <c r="U8" s="108"/>
      <c r="V8" s="108"/>
    </row>
    <row r="9" spans="9:22" ht="18.75">
      <c r="J9" s="54" t="s">
        <v>127</v>
      </c>
      <c r="N9" s="47" t="s">
        <v>113</v>
      </c>
      <c r="O9" s="48">
        <f>SUM(L11:L18)</f>
        <v>0.5</v>
      </c>
      <c r="P9" s="53" t="s">
        <v>114</v>
      </c>
      <c r="Q9" s="48">
        <f>SUM(L19:L25)</f>
        <v>0.5</v>
      </c>
      <c r="R9" s="62" t="s">
        <v>121</v>
      </c>
      <c r="S9" s="24" t="s">
        <v>130</v>
      </c>
      <c r="T9" s="70" t="s">
        <v>128</v>
      </c>
      <c r="U9" s="71">
        <f>O9*(O26-R26)^2 + Q9*(Q26-R26)^2</f>
        <v>1134.84765625</v>
      </c>
    </row>
    <row r="10" spans="9:22" ht="18.75">
      <c r="I10" s="32" t="s">
        <v>74</v>
      </c>
      <c r="J10" t="s">
        <v>126</v>
      </c>
      <c r="K10" s="19" t="s">
        <v>104</v>
      </c>
      <c r="L10" s="44" t="s">
        <v>109</v>
      </c>
      <c r="N10" s="55" t="s">
        <v>118</v>
      </c>
      <c r="O10" s="56" t="s">
        <v>122</v>
      </c>
      <c r="P10" s="59" t="s">
        <v>118</v>
      </c>
      <c r="Q10" s="60" t="s">
        <v>123</v>
      </c>
      <c r="R10" s="58" t="s">
        <v>73</v>
      </c>
      <c r="S10" s="70" t="s">
        <v>129</v>
      </c>
      <c r="T10" s="70" t="s">
        <v>129</v>
      </c>
      <c r="U10" s="71">
        <f>S26</f>
        <v>1645.05859375</v>
      </c>
    </row>
    <row r="11" spans="9:22">
      <c r="I11" s="10" t="s">
        <v>99</v>
      </c>
      <c r="J11">
        <v>40</v>
      </c>
      <c r="K11" s="19">
        <v>1</v>
      </c>
      <c r="L11" s="45">
        <f>K11/K$26</f>
        <v>6.25E-2</v>
      </c>
      <c r="N11" s="57">
        <v>1</v>
      </c>
      <c r="O11" s="57">
        <f>J11*L11*N11/O$9</f>
        <v>5</v>
      </c>
      <c r="P11" s="61">
        <v>0</v>
      </c>
      <c r="Q11" s="61">
        <f>P11*J11*L11/Q$9</f>
        <v>0</v>
      </c>
      <c r="R11" s="68">
        <f>J11*L11</f>
        <v>2.5</v>
      </c>
      <c r="S11" s="71">
        <f>L11*(J11-R$26)^2</f>
        <v>271.734619140625</v>
      </c>
      <c r="T11" s="74" t="s">
        <v>134</v>
      </c>
      <c r="U11" s="73">
        <f>U9/U10</f>
        <v>0.68985242261982505</v>
      </c>
    </row>
    <row r="12" spans="9:22">
      <c r="I12" s="10" t="s">
        <v>100</v>
      </c>
      <c r="J12">
        <v>58</v>
      </c>
      <c r="K12" s="19">
        <v>1</v>
      </c>
      <c r="L12" s="45">
        <f t="shared" ref="L12:L25" si="0">K12/K$26</f>
        <v>6.25E-2</v>
      </c>
      <c r="N12" s="57">
        <v>1</v>
      </c>
      <c r="O12" s="57">
        <f t="shared" ref="O12:O25" si="1">J12*L12*N12/O$9</f>
        <v>7.25</v>
      </c>
      <c r="P12" s="61">
        <v>0</v>
      </c>
      <c r="Q12" s="61">
        <f t="shared" ref="Q12:Q25" si="2">P12*J12*L12/Q$9</f>
        <v>0</v>
      </c>
      <c r="R12" s="68">
        <f t="shared" ref="R12:R25" si="3">J12*L12</f>
        <v>3.625</v>
      </c>
      <c r="S12" s="71">
        <f t="shared" ref="S12:S25" si="4">L12*(J12-R$26)^2</f>
        <v>143.625244140625</v>
      </c>
    </row>
    <row r="13" spans="9:22">
      <c r="I13" s="10" t="s">
        <v>101</v>
      </c>
      <c r="J13">
        <v>61</v>
      </c>
      <c r="K13" s="19">
        <v>1</v>
      </c>
      <c r="L13" s="45">
        <f t="shared" si="0"/>
        <v>6.25E-2</v>
      </c>
      <c r="N13" s="57">
        <v>1</v>
      </c>
      <c r="O13" s="57">
        <f t="shared" si="1"/>
        <v>7.625</v>
      </c>
      <c r="P13" s="61">
        <v>0</v>
      </c>
      <c r="Q13" s="61">
        <f t="shared" si="2"/>
        <v>0</v>
      </c>
      <c r="R13" s="68">
        <f t="shared" si="3"/>
        <v>3.8125</v>
      </c>
      <c r="S13" s="71">
        <f t="shared" si="4"/>
        <v>126.211181640625</v>
      </c>
    </row>
    <row r="14" spans="9:22">
      <c r="I14" s="10" t="s">
        <v>102</v>
      </c>
      <c r="J14">
        <v>73</v>
      </c>
      <c r="K14" s="19">
        <v>1</v>
      </c>
      <c r="L14" s="45">
        <f t="shared" si="0"/>
        <v>6.25E-2</v>
      </c>
      <c r="N14" s="57">
        <v>1</v>
      </c>
      <c r="O14" s="57">
        <f t="shared" si="1"/>
        <v>9.125</v>
      </c>
      <c r="P14" s="61">
        <v>0</v>
      </c>
      <c r="Q14" s="61">
        <f t="shared" si="2"/>
        <v>0</v>
      </c>
      <c r="R14" s="68">
        <f t="shared" si="3"/>
        <v>4.5625</v>
      </c>
      <c r="S14" s="71">
        <f t="shared" si="4"/>
        <v>67.804931640625</v>
      </c>
    </row>
    <row r="15" spans="9:22">
      <c r="I15" s="10" t="s">
        <v>103</v>
      </c>
      <c r="J15">
        <v>75</v>
      </c>
      <c r="K15" s="19">
        <v>1</v>
      </c>
      <c r="L15" s="45">
        <f t="shared" si="0"/>
        <v>6.25E-2</v>
      </c>
      <c r="N15" s="57">
        <v>1</v>
      </c>
      <c r="O15" s="57">
        <f t="shared" si="1"/>
        <v>9.375</v>
      </c>
      <c r="P15" s="61">
        <v>0</v>
      </c>
      <c r="Q15" s="61">
        <f t="shared" si="2"/>
        <v>0</v>
      </c>
      <c r="R15" s="68">
        <f t="shared" si="3"/>
        <v>4.6875</v>
      </c>
      <c r="S15" s="71">
        <f t="shared" si="4"/>
        <v>59.820556640625</v>
      </c>
    </row>
    <row r="16" spans="9:22">
      <c r="I16" s="10" t="s">
        <v>107</v>
      </c>
      <c r="J16">
        <v>84</v>
      </c>
      <c r="K16" s="19">
        <v>1</v>
      </c>
      <c r="L16" s="45">
        <f t="shared" si="0"/>
        <v>6.25E-2</v>
      </c>
      <c r="N16" s="57">
        <v>1</v>
      </c>
      <c r="O16" s="57">
        <f t="shared" si="1"/>
        <v>10.5</v>
      </c>
      <c r="P16" s="61">
        <v>0</v>
      </c>
      <c r="Q16" s="61">
        <f t="shared" si="2"/>
        <v>0</v>
      </c>
      <c r="R16" s="68">
        <f t="shared" si="3"/>
        <v>5.25</v>
      </c>
      <c r="S16" s="71">
        <f t="shared" si="4"/>
        <v>30.078369140625</v>
      </c>
    </row>
    <row r="17" spans="6:23">
      <c r="I17" s="10" t="s">
        <v>105</v>
      </c>
      <c r="J17">
        <v>85</v>
      </c>
      <c r="K17" s="19">
        <v>1</v>
      </c>
      <c r="L17" s="45">
        <f t="shared" si="0"/>
        <v>6.25E-2</v>
      </c>
      <c r="N17" s="57">
        <v>1</v>
      </c>
      <c r="O17" s="57">
        <f t="shared" si="1"/>
        <v>10.625</v>
      </c>
      <c r="P17" s="61">
        <v>0</v>
      </c>
      <c r="Q17" s="61">
        <f t="shared" si="2"/>
        <v>0</v>
      </c>
      <c r="R17" s="68">
        <f t="shared" si="3"/>
        <v>5.3125</v>
      </c>
      <c r="S17" s="71">
        <f t="shared" si="4"/>
        <v>27.398681640625</v>
      </c>
    </row>
    <row r="18" spans="6:23">
      <c r="I18" s="10" t="s">
        <v>106</v>
      </c>
      <c r="J18" s="46">
        <v>102</v>
      </c>
      <c r="K18" s="19">
        <v>1</v>
      </c>
      <c r="L18" s="45">
        <f t="shared" si="0"/>
        <v>6.25E-2</v>
      </c>
      <c r="N18" s="57">
        <v>1</v>
      </c>
      <c r="O18" s="57">
        <f t="shared" si="1"/>
        <v>12.75</v>
      </c>
      <c r="P18" s="61">
        <v>0</v>
      </c>
      <c r="Q18" s="61">
        <f t="shared" si="2"/>
        <v>0</v>
      </c>
      <c r="R18" s="68">
        <f t="shared" si="3"/>
        <v>6.375</v>
      </c>
      <c r="S18" s="71">
        <f t="shared" si="4"/>
        <v>0.968994140625</v>
      </c>
    </row>
    <row r="19" spans="6:23" ht="18.75">
      <c r="I19" s="51" t="s">
        <v>54</v>
      </c>
      <c r="J19">
        <v>108</v>
      </c>
      <c r="K19" s="19">
        <v>1</v>
      </c>
      <c r="L19" s="45">
        <f t="shared" si="0"/>
        <v>6.25E-2</v>
      </c>
      <c r="N19" s="57">
        <v>0</v>
      </c>
      <c r="O19" s="57">
        <f t="shared" si="1"/>
        <v>0</v>
      </c>
      <c r="P19" s="61">
        <v>1</v>
      </c>
      <c r="Q19" s="61">
        <f t="shared" si="2"/>
        <v>13.5</v>
      </c>
      <c r="R19" s="68">
        <f t="shared" si="3"/>
        <v>6.75</v>
      </c>
      <c r="S19" s="71">
        <f t="shared" si="4"/>
        <v>0.265869140625</v>
      </c>
    </row>
    <row r="20" spans="6:23" ht="18.75">
      <c r="I20" s="50" t="s">
        <v>72</v>
      </c>
      <c r="J20">
        <v>122</v>
      </c>
      <c r="K20" s="19">
        <v>1</v>
      </c>
      <c r="L20" s="45">
        <f t="shared" si="0"/>
        <v>6.25E-2</v>
      </c>
      <c r="N20" s="57">
        <v>0</v>
      </c>
      <c r="O20" s="57">
        <f t="shared" si="1"/>
        <v>0</v>
      </c>
      <c r="P20" s="61">
        <v>1</v>
      </c>
      <c r="Q20" s="61">
        <f t="shared" si="2"/>
        <v>15.25</v>
      </c>
      <c r="R20" s="68">
        <f t="shared" si="3"/>
        <v>7.625</v>
      </c>
      <c r="S20" s="71">
        <f t="shared" si="4"/>
        <v>16.125244140625</v>
      </c>
    </row>
    <row r="21" spans="6:23">
      <c r="J21">
        <v>127</v>
      </c>
      <c r="K21" s="19">
        <v>2</v>
      </c>
      <c r="L21" s="45">
        <f t="shared" si="0"/>
        <v>0.125</v>
      </c>
      <c r="N21" s="57">
        <v>0</v>
      </c>
      <c r="O21" s="57">
        <f t="shared" si="1"/>
        <v>0</v>
      </c>
      <c r="P21" s="61">
        <v>1</v>
      </c>
      <c r="Q21" s="61">
        <f t="shared" si="2"/>
        <v>31.75</v>
      </c>
      <c r="R21" s="68">
        <f t="shared" si="3"/>
        <v>15.875</v>
      </c>
      <c r="S21" s="71">
        <f t="shared" si="4"/>
        <v>55.45361328125</v>
      </c>
    </row>
    <row r="22" spans="6:23">
      <c r="J22">
        <v>128</v>
      </c>
      <c r="K22" s="19">
        <v>1</v>
      </c>
      <c r="L22" s="45">
        <f t="shared" si="0"/>
        <v>6.25E-2</v>
      </c>
      <c r="N22" s="57">
        <v>0</v>
      </c>
      <c r="O22" s="57">
        <f t="shared" si="1"/>
        <v>0</v>
      </c>
      <c r="P22" s="61">
        <v>1</v>
      </c>
      <c r="Q22" s="61">
        <f t="shared" si="2"/>
        <v>16</v>
      </c>
      <c r="R22" s="68">
        <f t="shared" si="3"/>
        <v>8</v>
      </c>
      <c r="S22" s="71">
        <f t="shared" si="4"/>
        <v>30.422119140625</v>
      </c>
    </row>
    <row r="23" spans="6:23">
      <c r="J23">
        <v>139</v>
      </c>
      <c r="K23" s="19">
        <v>1</v>
      </c>
      <c r="L23" s="45">
        <f t="shared" si="0"/>
        <v>6.25E-2</v>
      </c>
      <c r="N23" s="57">
        <v>0</v>
      </c>
      <c r="O23" s="57">
        <f t="shared" si="1"/>
        <v>0</v>
      </c>
      <c r="P23" s="61">
        <v>1</v>
      </c>
      <c r="Q23" s="61">
        <f t="shared" si="2"/>
        <v>17.375</v>
      </c>
      <c r="R23" s="68">
        <f t="shared" si="3"/>
        <v>8.6875</v>
      </c>
      <c r="S23" s="71">
        <f t="shared" si="4"/>
        <v>68.320556640625</v>
      </c>
    </row>
    <row r="24" spans="6:23">
      <c r="J24">
        <v>177</v>
      </c>
      <c r="K24" s="19">
        <v>1</v>
      </c>
      <c r="L24" s="45">
        <f t="shared" si="0"/>
        <v>6.25E-2</v>
      </c>
      <c r="N24" s="57">
        <v>0</v>
      </c>
      <c r="O24" s="57">
        <f t="shared" si="1"/>
        <v>0</v>
      </c>
      <c r="P24" s="61">
        <v>1</v>
      </c>
      <c r="Q24" s="61">
        <f t="shared" si="2"/>
        <v>22.125</v>
      </c>
      <c r="R24" s="68">
        <f t="shared" si="3"/>
        <v>11.0625</v>
      </c>
      <c r="S24" s="71">
        <f t="shared" si="4"/>
        <v>315.617431640625</v>
      </c>
    </row>
    <row r="25" spans="6:23">
      <c r="J25">
        <v>189</v>
      </c>
      <c r="K25" s="19">
        <v>1</v>
      </c>
      <c r="L25" s="45">
        <f t="shared" si="0"/>
        <v>6.25E-2</v>
      </c>
      <c r="N25" s="57">
        <v>0</v>
      </c>
      <c r="O25" s="57">
        <f t="shared" si="1"/>
        <v>0</v>
      </c>
      <c r="P25" s="61">
        <v>1</v>
      </c>
      <c r="Q25" s="61">
        <f t="shared" si="2"/>
        <v>23.625</v>
      </c>
      <c r="R25" s="68">
        <f t="shared" si="3"/>
        <v>11.8125</v>
      </c>
      <c r="S25" s="71">
        <f t="shared" si="4"/>
        <v>431.211181640625</v>
      </c>
    </row>
    <row r="26" spans="6:23">
      <c r="J26" s="19" t="s">
        <v>108</v>
      </c>
      <c r="K26" s="19">
        <f>SUM(K11:K25)</f>
        <v>16</v>
      </c>
      <c r="N26" s="56" t="s">
        <v>119</v>
      </c>
      <c r="O26" s="63">
        <f>SUM(O11:O25)</f>
        <v>72.25</v>
      </c>
      <c r="P26" s="60" t="s">
        <v>120</v>
      </c>
      <c r="Q26" s="64">
        <f>SUM(Q11:Q25)</f>
        <v>139.625</v>
      </c>
      <c r="R26" s="69">
        <f>SUM(R11:R25)</f>
        <v>105.9375</v>
      </c>
      <c r="S26" s="72">
        <f>SUM(S11:S25)</f>
        <v>1645.05859375</v>
      </c>
    </row>
    <row r="27" spans="6:23" ht="18.75">
      <c r="H27" s="52" t="s">
        <v>57</v>
      </c>
      <c r="I27" s="46" t="s">
        <v>111</v>
      </c>
      <c r="J27" s="65">
        <f>AVERAGE(J11:J25)</f>
        <v>104.53333333333333</v>
      </c>
      <c r="R27" s="67" t="s">
        <v>125</v>
      </c>
    </row>
    <row r="28" spans="6:23">
      <c r="H28" s="104" t="s">
        <v>112</v>
      </c>
      <c r="I28" s="104"/>
      <c r="J28" s="104"/>
      <c r="K28" s="104"/>
    </row>
    <row r="30" spans="6:23">
      <c r="F30" s="20"/>
      <c r="G30" s="20"/>
      <c r="H30" s="20"/>
      <c r="I30" s="20"/>
      <c r="J30" s="20"/>
      <c r="K30" s="20"/>
      <c r="L30" s="20"/>
      <c r="M30" s="20"/>
      <c r="N30" s="102" t="s">
        <v>137</v>
      </c>
      <c r="O30" s="102"/>
      <c r="P30" s="102"/>
      <c r="Q30" s="102"/>
      <c r="R30" s="102" t="s">
        <v>143</v>
      </c>
      <c r="S30" s="102"/>
      <c r="T30" s="102"/>
      <c r="U30" s="102"/>
      <c r="V30" s="20"/>
      <c r="W30" s="20"/>
    </row>
    <row r="31" spans="6:23">
      <c r="M31" s="10">
        <v>0</v>
      </c>
      <c r="N31" s="75">
        <f>O9</f>
        <v>0.5</v>
      </c>
      <c r="O31" s="14">
        <f>-N31*LOG10(N31)</f>
        <v>0.1505149978319906</v>
      </c>
      <c r="Q31" s="95" t="s">
        <v>141</v>
      </c>
      <c r="R31" s="95"/>
      <c r="S31" s="37" t="s">
        <v>140</v>
      </c>
      <c r="T31" s="9" t="s">
        <v>139</v>
      </c>
    </row>
    <row r="32" spans="6:23">
      <c r="J32" s="54" t="s">
        <v>127</v>
      </c>
      <c r="M32" s="10">
        <v>1</v>
      </c>
      <c r="N32" s="75">
        <f>Q9</f>
        <v>0.5</v>
      </c>
      <c r="O32" s="14">
        <f>-N32*LOG10(N32)</f>
        <v>0.1505149978319906</v>
      </c>
      <c r="Q32" s="76">
        <f>SUM(O31:O32)</f>
        <v>0.3010299956639812</v>
      </c>
      <c r="R32" t="s">
        <v>142</v>
      </c>
      <c r="S32" s="37" t="s">
        <v>138</v>
      </c>
      <c r="T32" s="9"/>
    </row>
    <row r="33" spans="10:11">
      <c r="J33" t="s">
        <v>126</v>
      </c>
      <c r="K33" s="19" t="s">
        <v>104</v>
      </c>
    </row>
    <row r="34" spans="10:11">
      <c r="J34">
        <v>40</v>
      </c>
      <c r="K34" s="19">
        <v>1</v>
      </c>
    </row>
    <row r="35" spans="10:11">
      <c r="J35">
        <v>58</v>
      </c>
      <c r="K35" s="19">
        <v>1</v>
      </c>
    </row>
    <row r="36" spans="10:11">
      <c r="J36">
        <v>61</v>
      </c>
      <c r="K36" s="19">
        <v>1</v>
      </c>
    </row>
    <row r="37" spans="10:11">
      <c r="J37">
        <v>73</v>
      </c>
      <c r="K37" s="19">
        <v>1</v>
      </c>
    </row>
    <row r="38" spans="10:11">
      <c r="J38">
        <v>75</v>
      </c>
      <c r="K38" s="19">
        <v>1</v>
      </c>
    </row>
    <row r="39" spans="10:11">
      <c r="J39">
        <v>84</v>
      </c>
      <c r="K39" s="19">
        <v>1</v>
      </c>
    </row>
    <row r="40" spans="10:11">
      <c r="J40">
        <v>85</v>
      </c>
      <c r="K40" s="19">
        <v>1</v>
      </c>
    </row>
    <row r="41" spans="10:11">
      <c r="J41" s="46">
        <v>102</v>
      </c>
      <c r="K41" s="19">
        <v>1</v>
      </c>
    </row>
    <row r="42" spans="10:11">
      <c r="J42">
        <v>108</v>
      </c>
      <c r="K42" s="19">
        <v>1</v>
      </c>
    </row>
    <row r="43" spans="10:11">
      <c r="J43">
        <v>122</v>
      </c>
      <c r="K43" s="19">
        <v>1</v>
      </c>
    </row>
    <row r="44" spans="10:11">
      <c r="J44">
        <v>127</v>
      </c>
      <c r="K44" s="19">
        <v>2</v>
      </c>
    </row>
    <row r="45" spans="10:11">
      <c r="J45">
        <v>128</v>
      </c>
      <c r="K45" s="19">
        <v>1</v>
      </c>
    </row>
    <row r="46" spans="10:11">
      <c r="J46">
        <v>139</v>
      </c>
      <c r="K46" s="19">
        <v>1</v>
      </c>
    </row>
    <row r="47" spans="10:11">
      <c r="J47">
        <v>177</v>
      </c>
      <c r="K47" s="19">
        <v>1</v>
      </c>
    </row>
    <row r="48" spans="10:11">
      <c r="J48">
        <v>189</v>
      </c>
      <c r="K48" s="19">
        <v>1</v>
      </c>
    </row>
  </sheetData>
  <mergeCells count="12">
    <mergeCell ref="N30:Q30"/>
    <mergeCell ref="Q31:R31"/>
    <mergeCell ref="R30:U30"/>
    <mergeCell ref="I1:O1"/>
    <mergeCell ref="H28:K28"/>
    <mergeCell ref="N8:O8"/>
    <mergeCell ref="P8:Q8"/>
    <mergeCell ref="S6:V6"/>
    <mergeCell ref="S7:V7"/>
    <mergeCell ref="S8:V8"/>
    <mergeCell ref="I2:O2"/>
    <mergeCell ref="S5:V5"/>
  </mergeCells>
  <phoneticPr fontId="10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FA21-DA7A-4319-9FA5-B6A6801A40C8}">
  <dimension ref="D26:P50"/>
  <sheetViews>
    <sheetView workbookViewId="0">
      <selection activeCell="I46" sqref="I46"/>
    </sheetView>
  </sheetViews>
  <sheetFormatPr baseColWidth="10" defaultRowHeight="15"/>
  <cols>
    <col min="4" max="4" width="12.85546875" bestFit="1" customWidth="1"/>
    <col min="5" max="5" width="13.85546875" bestFit="1" customWidth="1"/>
    <col min="6" max="6" width="11.28515625" bestFit="1" customWidth="1"/>
    <col min="7" max="7" width="6.140625" bestFit="1" customWidth="1"/>
    <col min="8" max="8" width="6.85546875" bestFit="1" customWidth="1"/>
    <col min="9" max="9" width="7.28515625" bestFit="1" customWidth="1"/>
    <col min="10" max="13" width="6.85546875" bestFit="1" customWidth="1"/>
    <col min="14" max="14" width="7.85546875" bestFit="1" customWidth="1"/>
    <col min="15" max="15" width="18.7109375" bestFit="1" customWidth="1"/>
  </cols>
  <sheetData>
    <row r="26" spans="4:16">
      <c r="E26" s="30" t="s">
        <v>76</v>
      </c>
      <c r="F26" s="30" t="s">
        <v>77</v>
      </c>
      <c r="G26" s="30" t="s">
        <v>79</v>
      </c>
      <c r="H26" s="30" t="s">
        <v>80</v>
      </c>
      <c r="I26" s="30" t="s">
        <v>81</v>
      </c>
      <c r="J26" s="30" t="s">
        <v>82</v>
      </c>
      <c r="K26" s="30" t="s">
        <v>83</v>
      </c>
      <c r="L26" s="30" t="s">
        <v>84</v>
      </c>
      <c r="M26" s="30" t="s">
        <v>85</v>
      </c>
      <c r="N26" s="30" t="s">
        <v>86</v>
      </c>
    </row>
    <row r="27" spans="4:16" ht="18.75">
      <c r="E27" t="s">
        <v>78</v>
      </c>
      <c r="F27" s="33" t="s">
        <v>75</v>
      </c>
      <c r="G27" s="34">
        <v>56</v>
      </c>
      <c r="H27" s="34">
        <v>65</v>
      </c>
      <c r="I27" s="34">
        <v>70</v>
      </c>
      <c r="J27" s="41">
        <v>81</v>
      </c>
      <c r="K27" s="34">
        <v>84</v>
      </c>
      <c r="L27" s="34">
        <v>88</v>
      </c>
      <c r="M27" s="34">
        <v>90</v>
      </c>
      <c r="N27" s="35">
        <v>216</v>
      </c>
      <c r="O27" s="42" t="s">
        <v>93</v>
      </c>
      <c r="P27" s="36"/>
    </row>
    <row r="28" spans="4:16">
      <c r="D28" s="43" t="s">
        <v>68</v>
      </c>
      <c r="O28" s="36"/>
      <c r="P28" s="36"/>
    </row>
    <row r="29" spans="4:16">
      <c r="D29" s="43">
        <f>E29/E38 *100</f>
        <v>50.943396226415096</v>
      </c>
      <c r="E29">
        <v>45</v>
      </c>
      <c r="F29" s="34">
        <f t="shared" ref="F29:F37" si="0">E$29-E29</f>
        <v>0</v>
      </c>
      <c r="G29" s="34">
        <f>G$27 -$E29</f>
        <v>11</v>
      </c>
      <c r="H29" s="34">
        <f t="shared" ref="H29:N29" si="1">H$27 -$E29</f>
        <v>20</v>
      </c>
      <c r="I29" s="34">
        <f t="shared" si="1"/>
        <v>25</v>
      </c>
      <c r="J29" s="34">
        <f t="shared" si="1"/>
        <v>36</v>
      </c>
      <c r="K29" s="34">
        <f t="shared" si="1"/>
        <v>39</v>
      </c>
      <c r="L29" s="34">
        <f t="shared" si="1"/>
        <v>43</v>
      </c>
      <c r="M29" s="34">
        <f t="shared" si="1"/>
        <v>45</v>
      </c>
      <c r="N29" s="34">
        <f t="shared" si="1"/>
        <v>171</v>
      </c>
      <c r="O29" s="40" t="s">
        <v>88</v>
      </c>
      <c r="P29" s="36"/>
    </row>
    <row r="30" spans="4:16">
      <c r="D30" s="43">
        <f>E30*100/E$38</f>
        <v>63.39622641509434</v>
      </c>
      <c r="E30">
        <v>56</v>
      </c>
      <c r="F30" s="34">
        <f t="shared" si="0"/>
        <v>-11</v>
      </c>
      <c r="G30" s="34">
        <f t="shared" ref="G30:N37" si="2">G$27 -$E30</f>
        <v>0</v>
      </c>
      <c r="H30" s="34">
        <f t="shared" si="2"/>
        <v>9</v>
      </c>
      <c r="I30" s="34">
        <f t="shared" si="2"/>
        <v>14</v>
      </c>
      <c r="J30" s="34">
        <f t="shared" si="2"/>
        <v>25</v>
      </c>
      <c r="K30" s="34">
        <f t="shared" si="2"/>
        <v>28</v>
      </c>
      <c r="L30" s="34">
        <f t="shared" si="2"/>
        <v>32</v>
      </c>
      <c r="M30" s="34">
        <f t="shared" si="2"/>
        <v>34</v>
      </c>
      <c r="N30" s="34">
        <f t="shared" si="2"/>
        <v>160</v>
      </c>
      <c r="O30" s="40" t="s">
        <v>89</v>
      </c>
      <c r="P30" s="36"/>
    </row>
    <row r="31" spans="4:16">
      <c r="D31" s="43">
        <f>E31*100/E$38</f>
        <v>73.584905660377359</v>
      </c>
      <c r="E31">
        <v>65</v>
      </c>
      <c r="F31" s="34">
        <f t="shared" si="0"/>
        <v>-20</v>
      </c>
      <c r="G31" s="34">
        <f t="shared" si="2"/>
        <v>-9</v>
      </c>
      <c r="H31" s="34">
        <f t="shared" si="2"/>
        <v>0</v>
      </c>
      <c r="I31" s="34">
        <f t="shared" si="2"/>
        <v>5</v>
      </c>
      <c r="J31" s="34">
        <f t="shared" si="2"/>
        <v>16</v>
      </c>
      <c r="K31" s="34">
        <f t="shared" si="2"/>
        <v>19</v>
      </c>
      <c r="L31" s="34">
        <f t="shared" si="2"/>
        <v>23</v>
      </c>
      <c r="M31" s="34">
        <f t="shared" si="2"/>
        <v>25</v>
      </c>
      <c r="N31" s="34">
        <f t="shared" si="2"/>
        <v>151</v>
      </c>
      <c r="O31" s="40"/>
      <c r="P31" s="36"/>
    </row>
    <row r="32" spans="4:16">
      <c r="D32" s="43">
        <f t="shared" ref="D32:D37" si="3">E32*100/E$38</f>
        <v>79.245283018867923</v>
      </c>
      <c r="E32">
        <v>70</v>
      </c>
      <c r="F32" s="34">
        <f t="shared" si="0"/>
        <v>-25</v>
      </c>
      <c r="G32" s="34">
        <f t="shared" si="2"/>
        <v>-14</v>
      </c>
      <c r="H32" s="34">
        <f t="shared" si="2"/>
        <v>-5</v>
      </c>
      <c r="I32" s="34">
        <f t="shared" si="2"/>
        <v>0</v>
      </c>
      <c r="J32" s="34">
        <f t="shared" si="2"/>
        <v>11</v>
      </c>
      <c r="K32" s="34">
        <f t="shared" si="2"/>
        <v>14</v>
      </c>
      <c r="L32" s="34">
        <f t="shared" si="2"/>
        <v>18</v>
      </c>
      <c r="M32" s="34">
        <f t="shared" si="2"/>
        <v>20</v>
      </c>
      <c r="N32" s="34">
        <f t="shared" si="2"/>
        <v>146</v>
      </c>
      <c r="O32" s="40" t="s">
        <v>90</v>
      </c>
      <c r="P32" s="36"/>
    </row>
    <row r="33" spans="4:16">
      <c r="D33" s="43">
        <f t="shared" si="3"/>
        <v>91.698113207547181</v>
      </c>
      <c r="E33">
        <v>81</v>
      </c>
      <c r="F33" s="34">
        <f t="shared" si="0"/>
        <v>-36</v>
      </c>
      <c r="G33" s="34">
        <f t="shared" si="2"/>
        <v>-25</v>
      </c>
      <c r="H33" s="34">
        <f t="shared" si="2"/>
        <v>-16</v>
      </c>
      <c r="I33" s="34">
        <f t="shared" si="2"/>
        <v>-11</v>
      </c>
      <c r="J33" s="34">
        <f t="shared" si="2"/>
        <v>0</v>
      </c>
      <c r="K33" s="34">
        <f t="shared" si="2"/>
        <v>3</v>
      </c>
      <c r="L33" s="34">
        <f t="shared" si="2"/>
        <v>7</v>
      </c>
      <c r="M33" s="34">
        <f t="shared" si="2"/>
        <v>9</v>
      </c>
      <c r="N33" s="34">
        <f t="shared" si="2"/>
        <v>135</v>
      </c>
      <c r="O33" s="40" t="s">
        <v>91</v>
      </c>
      <c r="P33" s="36"/>
    </row>
    <row r="34" spans="4:16">
      <c r="D34" s="43">
        <f t="shared" si="3"/>
        <v>95.094339622641513</v>
      </c>
      <c r="E34">
        <v>84</v>
      </c>
      <c r="F34" s="34">
        <f t="shared" si="0"/>
        <v>-39</v>
      </c>
      <c r="G34" s="34">
        <f t="shared" si="2"/>
        <v>-28</v>
      </c>
      <c r="H34" s="34">
        <f t="shared" si="2"/>
        <v>-19</v>
      </c>
      <c r="I34" s="34">
        <f t="shared" si="2"/>
        <v>-14</v>
      </c>
      <c r="J34" s="34">
        <f t="shared" si="2"/>
        <v>-3</v>
      </c>
      <c r="K34" s="34">
        <f t="shared" si="2"/>
        <v>0</v>
      </c>
      <c r="L34" s="34">
        <f t="shared" si="2"/>
        <v>4</v>
      </c>
      <c r="M34" s="34">
        <f t="shared" si="2"/>
        <v>6</v>
      </c>
      <c r="N34" s="34">
        <f t="shared" si="2"/>
        <v>132</v>
      </c>
      <c r="O34" s="40" t="s">
        <v>92</v>
      </c>
      <c r="P34" s="36"/>
    </row>
    <row r="35" spans="4:16">
      <c r="D35" s="43">
        <f t="shared" si="3"/>
        <v>99.622641509433961</v>
      </c>
      <c r="E35">
        <v>88</v>
      </c>
      <c r="F35" s="34">
        <f t="shared" si="0"/>
        <v>-43</v>
      </c>
      <c r="G35" s="34">
        <f t="shared" si="2"/>
        <v>-32</v>
      </c>
      <c r="H35" s="34">
        <f t="shared" si="2"/>
        <v>-23</v>
      </c>
      <c r="I35" s="34">
        <f t="shared" si="2"/>
        <v>-18</v>
      </c>
      <c r="J35" s="34">
        <f t="shared" si="2"/>
        <v>-7</v>
      </c>
      <c r="K35" s="34">
        <f t="shared" si="2"/>
        <v>-4</v>
      </c>
      <c r="L35" s="34">
        <f t="shared" si="2"/>
        <v>0</v>
      </c>
      <c r="M35" s="34">
        <f t="shared" si="2"/>
        <v>2</v>
      </c>
      <c r="N35" s="34">
        <f t="shared" si="2"/>
        <v>128</v>
      </c>
      <c r="O35" s="36"/>
      <c r="P35" s="36"/>
    </row>
    <row r="36" spans="4:16">
      <c r="D36" s="43">
        <f t="shared" si="3"/>
        <v>101.88679245283019</v>
      </c>
      <c r="E36">
        <v>90</v>
      </c>
      <c r="F36" s="34">
        <f t="shared" si="0"/>
        <v>-45</v>
      </c>
      <c r="G36" s="34">
        <f t="shared" si="2"/>
        <v>-34</v>
      </c>
      <c r="H36" s="34">
        <f t="shared" si="2"/>
        <v>-25</v>
      </c>
      <c r="I36" s="34">
        <f t="shared" si="2"/>
        <v>-20</v>
      </c>
      <c r="J36" s="34">
        <f t="shared" si="2"/>
        <v>-9</v>
      </c>
      <c r="K36" s="34">
        <f t="shared" si="2"/>
        <v>-6</v>
      </c>
      <c r="L36" s="34">
        <f t="shared" si="2"/>
        <v>-2</v>
      </c>
      <c r="M36" s="34">
        <f t="shared" si="2"/>
        <v>0</v>
      </c>
      <c r="N36" s="34">
        <f t="shared" si="2"/>
        <v>126</v>
      </c>
    </row>
    <row r="37" spans="4:16">
      <c r="D37" s="43">
        <f t="shared" si="3"/>
        <v>244.52830188679246</v>
      </c>
      <c r="E37">
        <v>216</v>
      </c>
      <c r="F37" s="34">
        <f t="shared" si="0"/>
        <v>-171</v>
      </c>
      <c r="G37" s="34">
        <f t="shared" si="2"/>
        <v>-160</v>
      </c>
      <c r="H37" s="34">
        <f t="shared" si="2"/>
        <v>-151</v>
      </c>
      <c r="I37" s="34">
        <f t="shared" si="2"/>
        <v>-146</v>
      </c>
      <c r="J37" s="34">
        <f t="shared" si="2"/>
        <v>-135</v>
      </c>
      <c r="K37" s="34">
        <f t="shared" si="2"/>
        <v>-132</v>
      </c>
      <c r="L37" s="34">
        <f t="shared" si="2"/>
        <v>-128</v>
      </c>
      <c r="M37" s="34">
        <f t="shared" si="2"/>
        <v>-126</v>
      </c>
      <c r="N37" s="34">
        <f t="shared" si="2"/>
        <v>0</v>
      </c>
    </row>
    <row r="38" spans="4:16" ht="18.75">
      <c r="D38" s="31" t="s">
        <v>74</v>
      </c>
      <c r="E38" s="29">
        <f>AVERAGE(E29:E37)</f>
        <v>88.333333333333329</v>
      </c>
      <c r="F38" s="39" cm="1">
        <f t="array" ref="F38">SUM(ABS(F29:F37))</f>
        <v>390</v>
      </c>
      <c r="G38" s="39" cm="1">
        <f t="array" ref="G38">SUM(ABS(G29:G37))</f>
        <v>313</v>
      </c>
      <c r="H38" s="39" cm="1">
        <f t="array" ref="H38">SUM(ABS(H29:H37))</f>
        <v>268</v>
      </c>
      <c r="I38" s="39" cm="1">
        <f t="array" ref="I38">SUM(ABS(I29:I37))</f>
        <v>253</v>
      </c>
      <c r="J38" s="39" cm="1">
        <f t="array" ref="J38">SUM(ABS(J29:J37))</f>
        <v>242</v>
      </c>
      <c r="K38" s="39" cm="1">
        <f t="array" ref="K38">SUM(ABS(K29:K37))</f>
        <v>245</v>
      </c>
      <c r="L38" s="39" cm="1">
        <f t="array" ref="L38">SUM(ABS(L29:L37))</f>
        <v>257</v>
      </c>
      <c r="M38" s="39" cm="1">
        <f t="array" ref="M38">SUM(ABS(M29:M37))</f>
        <v>267</v>
      </c>
      <c r="N38" s="39" cm="1">
        <f t="array" ref="N38">SUM(ABS(N29:N37))</f>
        <v>1149</v>
      </c>
      <c r="O38" s="5" t="s">
        <v>87</v>
      </c>
    </row>
    <row r="39" spans="4:16" ht="18.75">
      <c r="O39" s="38" t="s">
        <v>54</v>
      </c>
    </row>
    <row r="42" spans="4:16">
      <c r="D42" s="43" t="s">
        <v>72</v>
      </c>
      <c r="E42" s="43"/>
      <c r="F42" s="43">
        <v>45</v>
      </c>
    </row>
    <row r="43" spans="4:16">
      <c r="D43" s="43" t="s">
        <v>94</v>
      </c>
      <c r="E43" s="43" t="s">
        <v>98</v>
      </c>
      <c r="F43" s="43">
        <v>56</v>
      </c>
    </row>
    <row r="44" spans="4:16">
      <c r="D44" s="43" t="s">
        <v>95</v>
      </c>
      <c r="E44" s="43"/>
      <c r="F44" s="43">
        <v>65</v>
      </c>
    </row>
    <row r="45" spans="4:16">
      <c r="D45" s="43" t="s">
        <v>96</v>
      </c>
      <c r="E45" s="43"/>
      <c r="F45" s="43">
        <v>70</v>
      </c>
    </row>
    <row r="46" spans="4:16">
      <c r="D46" s="43" t="s">
        <v>97</v>
      </c>
      <c r="E46" s="43"/>
      <c r="F46" s="43">
        <v>81</v>
      </c>
    </row>
    <row r="47" spans="4:16">
      <c r="F47" s="43">
        <v>84</v>
      </c>
    </row>
    <row r="48" spans="4:16">
      <c r="F48" s="43">
        <v>88</v>
      </c>
    </row>
    <row r="49" spans="6:6">
      <c r="F49" s="43">
        <v>90</v>
      </c>
    </row>
    <row r="50" spans="6:6">
      <c r="F50" s="1">
        <v>81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E9E3D-1563-4CA0-8367-D2E911F3D28E}">
  <dimension ref="B1:J17"/>
  <sheetViews>
    <sheetView tabSelected="1" workbookViewId="0">
      <selection activeCell="P5" sqref="P5"/>
    </sheetView>
  </sheetViews>
  <sheetFormatPr baseColWidth="10" defaultRowHeight="15"/>
  <cols>
    <col min="3" max="3" width="25.140625" bestFit="1" customWidth="1"/>
    <col min="4" max="8" width="4" bestFit="1" customWidth="1"/>
  </cols>
  <sheetData>
    <row r="1" spans="2:10">
      <c r="I1" t="s">
        <v>145</v>
      </c>
      <c r="J1" t="s">
        <v>144</v>
      </c>
    </row>
    <row r="2" spans="2:10">
      <c r="I2" t="s">
        <v>146</v>
      </c>
    </row>
    <row r="3" spans="2:10">
      <c r="B3" s="99" t="s">
        <v>153</v>
      </c>
      <c r="C3" s="99"/>
      <c r="D3" s="13">
        <v>1</v>
      </c>
      <c r="E3" s="13">
        <v>1</v>
      </c>
      <c r="F3" s="13">
        <v>1</v>
      </c>
    </row>
    <row r="4" spans="2:10">
      <c r="B4" s="4" t="s">
        <v>74</v>
      </c>
      <c r="C4" s="4" t="s">
        <v>147</v>
      </c>
      <c r="D4" s="79">
        <v>78</v>
      </c>
      <c r="E4" s="77">
        <v>86</v>
      </c>
      <c r="F4" s="5">
        <v>88</v>
      </c>
      <c r="G4" s="78">
        <v>97</v>
      </c>
      <c r="H4" s="9">
        <v>104</v>
      </c>
    </row>
    <row r="5" spans="2:10">
      <c r="B5" s="77" t="s">
        <v>54</v>
      </c>
      <c r="C5" s="77" t="s">
        <v>148</v>
      </c>
      <c r="D5" s="5">
        <v>85</v>
      </c>
      <c r="E5" s="9">
        <v>92</v>
      </c>
      <c r="F5" s="9">
        <v>97</v>
      </c>
      <c r="G5" s="9">
        <v>103</v>
      </c>
      <c r="H5" s="29">
        <v>111</v>
      </c>
    </row>
    <row r="6" spans="2:10">
      <c r="B6" s="77"/>
      <c r="C6" s="77" t="s">
        <v>149</v>
      </c>
      <c r="D6" s="9">
        <v>93</v>
      </c>
      <c r="E6" s="9">
        <v>98</v>
      </c>
      <c r="F6" s="9">
        <v>103</v>
      </c>
      <c r="G6" s="29">
        <v>109</v>
      </c>
      <c r="H6" s="80">
        <v>114</v>
      </c>
    </row>
    <row r="7" spans="2:10">
      <c r="B7" s="77"/>
      <c r="C7" s="77" t="s">
        <v>150</v>
      </c>
      <c r="D7" s="9">
        <v>100</v>
      </c>
      <c r="E7" s="9">
        <v>105</v>
      </c>
      <c r="F7" s="29">
        <v>111</v>
      </c>
      <c r="G7" s="29">
        <v>116</v>
      </c>
      <c r="H7" s="29">
        <v>120</v>
      </c>
    </row>
    <row r="8" spans="2:10">
      <c r="B8" s="5" t="s">
        <v>151</v>
      </c>
      <c r="C8" s="5" t="s">
        <v>152</v>
      </c>
      <c r="D8" s="9">
        <v>105</v>
      </c>
      <c r="E8" s="29">
        <v>112</v>
      </c>
      <c r="F8" s="29">
        <v>117</v>
      </c>
      <c r="G8" s="46">
        <v>122</v>
      </c>
      <c r="H8" s="46">
        <v>128</v>
      </c>
    </row>
    <row r="9" spans="2:10">
      <c r="B9" s="5"/>
      <c r="C9" s="5" t="s">
        <v>154</v>
      </c>
    </row>
    <row r="10" spans="2:10">
      <c r="B10" s="9" t="s">
        <v>155</v>
      </c>
      <c r="C10" s="9" t="s">
        <v>156</v>
      </c>
    </row>
    <row r="11" spans="2:10">
      <c r="B11" s="9"/>
      <c r="C11" s="9" t="s">
        <v>157</v>
      </c>
    </row>
    <row r="12" spans="2:10">
      <c r="B12" s="9"/>
      <c r="C12" s="9" t="s">
        <v>158</v>
      </c>
    </row>
    <row r="13" spans="2:10">
      <c r="C13" s="9" t="s">
        <v>159</v>
      </c>
    </row>
    <row r="14" spans="2:10">
      <c r="C14" s="9" t="s">
        <v>160</v>
      </c>
    </row>
    <row r="15" spans="2:10">
      <c r="C15" s="9" t="s">
        <v>161</v>
      </c>
    </row>
    <row r="17" spans="9:9">
      <c r="I17" t="s">
        <v>27</v>
      </c>
    </row>
  </sheetData>
  <mergeCells count="1">
    <mergeCell ref="B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B49F-CE62-49AB-A7E3-CB4D40160B5C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Elongación  de contraste</vt:lpstr>
      <vt:lpstr>Shifting</vt:lpstr>
      <vt:lpstr>Filtro de mediana</vt:lpstr>
      <vt:lpstr>Umbral Basado en varianza</vt:lpstr>
      <vt:lpstr>Filtro Orden de Rango</vt:lpstr>
      <vt:lpstr>Vecindario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Morales</dc:creator>
  <cp:lastModifiedBy>Sebastian Morales</cp:lastModifiedBy>
  <dcterms:created xsi:type="dcterms:W3CDTF">2021-08-27T05:43:53Z</dcterms:created>
  <dcterms:modified xsi:type="dcterms:W3CDTF">2021-12-04T00:15:31Z</dcterms:modified>
</cp:coreProperties>
</file>