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<sst xmlns="http://schemas.openxmlformats.org/spreadsheetml/2006/main" count="144" uniqueCount="94">
  <si>
    <t>Masa</t>
  </si>
  <si>
    <t>kg</t>
  </si>
  <si>
    <t>Diámetro</t>
  </si>
  <si>
    <t>mm</t>
  </si>
  <si>
    <t>u estático</t>
  </si>
  <si>
    <t>(Asumiendo fricción crítica = 1)</t>
  </si>
  <si>
    <t>Peso del vehículo</t>
  </si>
  <si>
    <t>Numero de ruedas</t>
  </si>
  <si>
    <t>Peso por rueda</t>
  </si>
  <si>
    <t>N</t>
  </si>
  <si>
    <t xml:space="preserve">N </t>
  </si>
  <si>
    <t>N*u s</t>
  </si>
  <si>
    <t>coeficiente de rodadura (k)</t>
  </si>
  <si>
    <t>ur/R</t>
  </si>
  <si>
    <t>ΣFx=0</t>
  </si>
  <si>
    <t>F-N*us=0</t>
  </si>
  <si>
    <t>ΣFy=0</t>
  </si>
  <si>
    <t>m*g-R=0</t>
  </si>
  <si>
    <t>ΣM0=0</t>
  </si>
  <si>
    <t>T-N*us*r-N*ur=0</t>
  </si>
  <si>
    <t>T/r=N*us+N*k</t>
  </si>
  <si>
    <r>
      <rPr/>
      <t xml:space="preserve">Recuperado de: </t>
    </r>
    <r>
      <rPr>
        <color rgb="FF1155CC"/>
        <u/>
      </rPr>
      <t>http://www.eet476.edu.ar/documentos/Aula%20Virtual/PORIFIRI-MANTYEQUIPOS-ACTV3.pdf</t>
    </r>
  </si>
  <si>
    <t>Torque</t>
  </si>
  <si>
    <t>N*m</t>
  </si>
  <si>
    <t>Velocidad lineal</t>
  </si>
  <si>
    <t>m/s</t>
  </si>
  <si>
    <r>
      <rPr/>
      <t xml:space="preserve">Motor seleccionado: </t>
    </r>
    <r>
      <rPr>
        <color rgb="FF1155CC"/>
        <u/>
      </rPr>
      <t>https://spanish.alibaba.com/product-detail/Micro-adjustable-speed-forward-and-reverse-1600089937114.html</t>
    </r>
  </si>
  <si>
    <t>w</t>
  </si>
  <si>
    <t>rad/s</t>
  </si>
  <si>
    <t>rpm</t>
  </si>
  <si>
    <t>Potencia requerida</t>
  </si>
  <si>
    <t>W.</t>
  </si>
  <si>
    <t>Eficiencia</t>
  </si>
  <si>
    <t>Potencia real</t>
  </si>
  <si>
    <t>Opción 2:</t>
  </si>
  <si>
    <t>https://getliner.com/file/pdf/7QJ2ZBDM26A21G18KSCVA5C8XG</t>
  </si>
  <si>
    <t>El DCL es similar al de una rueda de bicicleta:</t>
  </si>
  <si>
    <t>https://nosinmibici.com/2015/10/11/la-resistencia-a-la-rodadura-neumatico-ancho-o-estrecho/</t>
  </si>
  <si>
    <r>
      <rPr/>
      <t xml:space="preserve">Recuperado de: </t>
    </r>
    <r>
      <rPr>
        <color rgb="FF1155CC"/>
        <u/>
      </rPr>
      <t>https://www.scielo.br/j/eagri/a/vTPRWyyf7GJff6HrFqkycWK/?lang=es#</t>
    </r>
  </si>
  <si>
    <t>F=Ff</t>
  </si>
  <si>
    <t>Para que no haya delizamiento, Fr&lt;us*N</t>
  </si>
  <si>
    <t>(Despreciando al mínimo)</t>
  </si>
  <si>
    <t>T-N*uR=0</t>
  </si>
  <si>
    <t>T/r=N*k</t>
  </si>
  <si>
    <t>T=</t>
  </si>
  <si>
    <t>N.m</t>
  </si>
  <si>
    <t>Factor de seguridad de 2</t>
  </si>
  <si>
    <r>
      <rPr/>
      <t xml:space="preserve">Consutado: </t>
    </r>
    <r>
      <rPr>
        <color rgb="FF1155CC"/>
        <u/>
      </rPr>
      <t>https://apuntes-ing-mecanica.blogspot.com/2015/05/titulo-friccion-subtitulo-friccion-por.html</t>
    </r>
  </si>
  <si>
    <t>Seleccion de motor</t>
  </si>
  <si>
    <t>Motor</t>
  </si>
  <si>
    <t>kg*cm</t>
  </si>
  <si>
    <t>Nm</t>
  </si>
  <si>
    <t>Velocidad</t>
  </si>
  <si>
    <t>rad/min</t>
  </si>
  <si>
    <t>Potencia</t>
  </si>
  <si>
    <t>hp</t>
  </si>
  <si>
    <t>https://www.robotmarketplace.com/products/0-pdx26.html</t>
  </si>
  <si>
    <t xml:space="preserve">Power </t>
  </si>
  <si>
    <t>W</t>
  </si>
  <si>
    <t>0.6 kg.cm</t>
  </si>
  <si>
    <t>reduccion de 34 a 1</t>
  </si>
  <si>
    <t>Componentes</t>
  </si>
  <si>
    <t>Componente</t>
  </si>
  <si>
    <t>Modelo</t>
  </si>
  <si>
    <t>Cantidad</t>
  </si>
  <si>
    <t>Voltaje típico (V)</t>
  </si>
  <si>
    <t>Amperaje (A)</t>
  </si>
  <si>
    <t>Potencia de consumo (W)</t>
  </si>
  <si>
    <t>Microcontrolador maestro</t>
  </si>
  <si>
    <t>Arduino Mega 2560</t>
  </si>
  <si>
    <t>Microcontrolador esclavo</t>
  </si>
  <si>
    <t>Raspberry</t>
  </si>
  <si>
    <t>Módulo wifi</t>
  </si>
  <si>
    <t>ESP-01 ESP8266 WIFI-SERIAL</t>
  </si>
  <si>
    <t>Lidar</t>
  </si>
  <si>
    <t xml:space="preserve">TeraRanger Evo 3m ToF Rangefinder
</t>
  </si>
  <si>
    <t>IMU</t>
  </si>
  <si>
    <t>IMU - MPU6050</t>
  </si>
  <si>
    <t>Encoder</t>
  </si>
  <si>
    <t>Grove Optical Rotary Encode</t>
  </si>
  <si>
    <t>Motor DC</t>
  </si>
  <si>
    <t>Motorreductor PDX26</t>
  </si>
  <si>
    <t>Cámara</t>
  </si>
  <si>
    <t xml:space="preserve">ESP32-CAM </t>
  </si>
  <si>
    <t>Electrobolla</t>
  </si>
  <si>
    <t>XKC-Y28-NC</t>
  </si>
  <si>
    <t>Bomba de agua</t>
  </si>
  <si>
    <t xml:space="preserve">RS-385
</t>
  </si>
  <si>
    <t>Total</t>
  </si>
  <si>
    <t>FS=2</t>
  </si>
  <si>
    <t>ah</t>
  </si>
  <si>
    <t>wh</t>
  </si>
  <si>
    <t>Bateria de golf</t>
  </si>
  <si>
    <t>https://www.hdibattery.com/p11802677_bateria-de-litio-para-carro-de-golf-12v-24ah-kit-de-carga-36-45-hoyos-eco-batt.html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</si>
</sst>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2.0"/>
      <color rgb="FF202124"/>
      <name val="Arial"/>
    </font>
    <font>
      <u/>
      <color rgb="FF0000FF"/>
    </font>
    <font/>
    <font>
      <u/>
      <color rgb="FF0000FF"/>
    </font>
    <font>
      <color rgb="FF262626"/>
      <name val="Arial"/>
    </font>
    <font>
      <color rgb="FF333333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1" numFmtId="0" xfId="0" applyAlignment="1" applyBorder="1" applyFill="1" applyFont="1">
      <alignment readingOrder="0"/>
    </xf>
    <xf borderId="0" fillId="4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4" numFmtId="2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2" xfId="0" applyBorder="1" applyFont="1" applyNumberFormat="1"/>
    <xf borderId="6" fillId="0" fontId="4" numFmtId="2" xfId="0" applyAlignment="1" applyBorder="1" applyFont="1" applyNumberFormat="1">
      <alignment readingOrder="0"/>
    </xf>
    <xf borderId="7" fillId="0" fontId="1" numFmtId="0" xfId="0" applyBorder="1" applyFont="1"/>
    <xf borderId="4" fillId="0" fontId="1" numFmtId="0" xfId="0" applyAlignment="1" applyBorder="1" applyFont="1">
      <alignment readingOrder="0"/>
    </xf>
    <xf borderId="8" fillId="0" fontId="1" numFmtId="2" xfId="0" applyBorder="1" applyFont="1" applyNumberFormat="1"/>
    <xf borderId="3" fillId="0" fontId="1" numFmtId="0" xfId="0" applyAlignment="1" applyBorder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" fillId="0" fontId="1" numFmtId="2" xfId="0" applyAlignment="1" applyBorder="1" applyFont="1" applyNumberFormat="1">
      <alignment horizontal="center" readingOrder="0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7" numFmtId="2" xfId="0" applyAlignment="1" applyBorder="1" applyFont="1" applyNumberFormat="1">
      <alignment horizontal="center" readingOrder="0" shrinkToFit="0" wrapText="1"/>
    </xf>
    <xf borderId="1" fillId="0" fontId="8" numFmtId="2" xfId="0" applyAlignment="1" applyBorder="1" applyFont="1" applyNumberFormat="1">
      <alignment horizontal="center" readingOrder="0" shrinkToFit="0" wrapText="1"/>
    </xf>
    <xf borderId="1" fillId="5" fontId="1" numFmtId="2" xfId="0" applyAlignment="1" applyBorder="1" applyFill="1" applyFont="1" applyNumberFormat="1">
      <alignment horizontal="center" readingOrder="0" shrinkToFit="0" wrapText="1"/>
    </xf>
    <xf borderId="1" fillId="5" fontId="1" numFmtId="2" xfId="0" applyAlignment="1" applyBorder="1" applyFont="1" applyNumberFormat="1">
      <alignment horizontal="center" shrinkToFit="0" wrapText="1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12</xdr:row>
      <xdr:rowOff>19050</xdr:rowOff>
    </xdr:from>
    <xdr:ext cx="3829050" cy="3657600"/>
    <xdr:grpSp>
      <xdr:nvGrpSpPr>
        <xdr:cNvPr id="2" name="Shape 2" title="Drawing"/>
        <xdr:cNvGrpSpPr/>
      </xdr:nvGrpSpPr>
      <xdr:grpSpPr>
        <a:xfrm>
          <a:off x="1541225" y="124450"/>
          <a:ext cx="3806125" cy="3637675"/>
          <a:chOff x="1541225" y="124450"/>
          <a:chExt cx="3806125" cy="3637675"/>
        </a:xfrm>
      </xdr:grpSpPr>
      <xdr:sp>
        <xdr:nvSpPr>
          <xdr:cNvPr id="3" name="Shape 3"/>
          <xdr:cNvSpPr/>
        </xdr:nvSpPr>
        <xdr:spPr>
          <a:xfrm>
            <a:off x="2689975" y="775400"/>
            <a:ext cx="1905000" cy="18189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3608975" y="335050"/>
            <a:ext cx="153300" cy="13020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3988050" y="2594300"/>
            <a:ext cx="105300" cy="842400"/>
          </a:xfrm>
          <a:prstGeom prst="up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3911475" y="335050"/>
            <a:ext cx="69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m*g</a:t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3988050" y="3361925"/>
            <a:ext cx="69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721575" y="2634449"/>
            <a:ext cx="1254000" cy="95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2249700" y="2657400"/>
            <a:ext cx="69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Ff</a:t>
            </a:r>
            <a:endParaRPr sz="800"/>
          </a:p>
        </xdr:txBody>
      </xdr:sp>
      <xdr:sp>
        <xdr:nvSpPr>
          <xdr:cNvPr id="10" name="Shape 10"/>
          <xdr:cNvSpPr txBox="1"/>
        </xdr:nvSpPr>
        <xdr:spPr>
          <a:xfrm>
            <a:off x="4093350" y="2632550"/>
            <a:ext cx="1254000" cy="19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102075" y="1583400"/>
            <a:ext cx="1506900" cy="95700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102075" y="1183200"/>
            <a:ext cx="69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endParaRPr sz="800"/>
          </a:p>
        </xdr:txBody>
      </xdr:sp>
      <xdr:sp>
        <xdr:nvSpPr>
          <xdr:cNvPr id="13" name="Shape 13"/>
          <xdr:cNvSpPr/>
        </xdr:nvSpPr>
        <xdr:spPr>
          <a:xfrm>
            <a:off x="3494125" y="1283800"/>
            <a:ext cx="296700" cy="306300"/>
          </a:xfrm>
          <a:prstGeom prst="bentArrow">
            <a:avLst>
              <a:gd fmla="val 25000" name="adj1"/>
              <a:gd fmla="val 25000" name="adj2"/>
              <a:gd fmla="val 25000" name="adj3"/>
              <a:gd fmla="val 43750" name="adj4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3212775" y="1099025"/>
            <a:ext cx="69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cxnSp>
        <xdr:nvCxnSpPr>
          <xdr:cNvPr id="15" name="Shape 15"/>
          <xdr:cNvCxnSpPr/>
        </xdr:nvCxnSpPr>
        <xdr:spPr>
          <a:xfrm>
            <a:off x="3666400" y="124450"/>
            <a:ext cx="19200" cy="3360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/>
        </xdr:nvCxnSpPr>
        <xdr:spPr>
          <a:xfrm flipH="1" rot="10800000">
            <a:off x="1541225" y="1608150"/>
            <a:ext cx="37908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/>
        </xdr:nvCxnSpPr>
        <xdr:spPr>
          <a:xfrm>
            <a:off x="3685550" y="2096450"/>
            <a:ext cx="325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stealth"/>
            <a:tailEnd len="med" w="med" type="triangle"/>
          </a:ln>
        </xdr:spPr>
      </xdr:cxnSp>
      <xdr:sp>
        <xdr:nvSpPr>
          <xdr:cNvPr id="18" name="Shape 18"/>
          <xdr:cNvSpPr txBox="1"/>
        </xdr:nvSpPr>
        <xdr:spPr>
          <a:xfrm>
            <a:off x="3685550" y="1745875"/>
            <a:ext cx="558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u</a:t>
            </a:r>
            <a:r>
              <a:rPr lang="en-US" sz="800"/>
              <a:t>R</a:t>
            </a:r>
            <a:endParaRPr sz="800"/>
          </a:p>
        </xdr:txBody>
      </xdr:sp>
    </xdr:grpSp>
    <xdr:clientData fLocksWithSheet="0"/>
  </xdr:oneCellAnchor>
  <xdr:oneCellAnchor>
    <xdr:from>
      <xdr:col>8</xdr:col>
      <xdr:colOff>895350</xdr:colOff>
      <xdr:row>3</xdr:row>
      <xdr:rowOff>19050</xdr:rowOff>
    </xdr:from>
    <xdr:ext cx="4914900" cy="18669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19</xdr:row>
      <xdr:rowOff>47625</xdr:rowOff>
    </xdr:from>
    <xdr:ext cx="7200900" cy="38004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44</xdr:row>
      <xdr:rowOff>47625</xdr:rowOff>
    </xdr:from>
    <xdr:ext cx="5800725" cy="43338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4</xdr:row>
      <xdr:rowOff>28575</xdr:rowOff>
    </xdr:from>
    <xdr:ext cx="3962400" cy="143827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11</xdr:row>
      <xdr:rowOff>142875</xdr:rowOff>
    </xdr:from>
    <xdr:ext cx="3800475" cy="3190875"/>
    <xdr:grpSp>
      <xdr:nvGrpSpPr>
        <xdr:cNvPr id="2" name="Shape 2" title="Drawing"/>
        <xdr:cNvGrpSpPr/>
      </xdr:nvGrpSpPr>
      <xdr:grpSpPr>
        <a:xfrm>
          <a:off x="1393550" y="335250"/>
          <a:ext cx="3778600" cy="3167450"/>
          <a:chOff x="1393550" y="335250"/>
          <a:chExt cx="3778600" cy="3167450"/>
        </a:xfrm>
      </xdr:grpSpPr>
      <xdr:sp>
        <xdr:nvSpPr>
          <xdr:cNvPr id="19" name="Shape 19"/>
          <xdr:cNvSpPr/>
        </xdr:nvSpPr>
        <xdr:spPr>
          <a:xfrm>
            <a:off x="2107200" y="795000"/>
            <a:ext cx="1934700" cy="19251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 rot="-3474405">
            <a:off x="2787364" y="1590019"/>
            <a:ext cx="373236" cy="201103"/>
          </a:xfrm>
          <a:prstGeom prst="curvedDown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21" name="Shape 21"/>
          <xdr:cNvCxnSpPr/>
        </xdr:nvCxnSpPr>
        <xdr:spPr>
          <a:xfrm>
            <a:off x="3017050" y="335250"/>
            <a:ext cx="9600" cy="3007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/>
        </xdr:nvCxnSpPr>
        <xdr:spPr>
          <a:xfrm flipH="1" rot="10800000">
            <a:off x="1465350" y="1747950"/>
            <a:ext cx="32184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23" name="Shape 23"/>
          <xdr:cNvSpPr txBox="1"/>
        </xdr:nvSpPr>
        <xdr:spPr>
          <a:xfrm>
            <a:off x="2565075" y="1245175"/>
            <a:ext cx="36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2969200" y="459675"/>
            <a:ext cx="105300" cy="1019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3044550" y="335250"/>
            <a:ext cx="768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m*g</a:t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>
            <a:off x="3256600" y="2576550"/>
            <a:ext cx="105300" cy="699300"/>
          </a:xfrm>
          <a:prstGeom prst="up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3429000" y="3102500"/>
            <a:ext cx="768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</a:t>
            </a:r>
            <a:endParaRPr sz="1400"/>
          </a:p>
        </xdr:txBody>
      </xdr:sp>
      <xdr:cxnSp>
        <xdr:nvCxnSpPr>
          <xdr:cNvPr id="28" name="Shape 28"/>
          <xdr:cNvCxnSpPr/>
        </xdr:nvCxnSpPr>
        <xdr:spPr>
          <a:xfrm>
            <a:off x="3045875" y="2337075"/>
            <a:ext cx="268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stealth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2995625" y="1971750"/>
            <a:ext cx="54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uR</a:t>
            </a:r>
            <a:endParaRPr sz="1400"/>
          </a:p>
        </xdr:txBody>
      </xdr:sp>
      <xdr:cxnSp>
        <xdr:nvCxnSpPr>
          <xdr:cNvPr id="30" name="Shape 30"/>
          <xdr:cNvCxnSpPr/>
        </xdr:nvCxnSpPr>
        <xdr:spPr>
          <a:xfrm>
            <a:off x="4281450" y="1752825"/>
            <a:ext cx="8907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31" name="Shape 31"/>
          <xdr:cNvSpPr/>
        </xdr:nvSpPr>
        <xdr:spPr>
          <a:xfrm>
            <a:off x="2861200" y="2671775"/>
            <a:ext cx="500700" cy="483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2" name="Shape 32"/>
          <xdr:cNvSpPr/>
        </xdr:nvSpPr>
        <xdr:spPr>
          <a:xfrm>
            <a:off x="1772200" y="2631275"/>
            <a:ext cx="1014900" cy="1293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3" name="Shape 33"/>
          <xdr:cNvSpPr/>
        </xdr:nvSpPr>
        <xdr:spPr>
          <a:xfrm>
            <a:off x="1645575" y="1748950"/>
            <a:ext cx="1288200" cy="94800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1393550" y="1406200"/>
            <a:ext cx="36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r>
              <a:rPr lang="en-US" sz="900"/>
              <a:t>f</a:t>
            </a:r>
            <a:endParaRPr sz="900"/>
          </a:p>
        </xdr:txBody>
      </xdr:sp>
      <xdr:sp>
        <xdr:nvSpPr>
          <xdr:cNvPr id="35" name="Shape 35"/>
          <xdr:cNvSpPr txBox="1"/>
        </xdr:nvSpPr>
        <xdr:spPr>
          <a:xfrm>
            <a:off x="1645575" y="2337075"/>
            <a:ext cx="368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</a:t>
            </a:r>
            <a:r>
              <a:rPr lang="en-US" sz="900"/>
              <a:t>f</a:t>
            </a:r>
            <a:endParaRPr sz="900"/>
          </a:p>
        </xdr:txBody>
      </xdr:sp>
    </xdr:grpSp>
    <xdr:clientData fLocksWithSheet="0"/>
  </xdr:oneCellAnchor>
  <xdr:oneCellAnchor>
    <xdr:from>
      <xdr:col>10</xdr:col>
      <xdr:colOff>942975</xdr:colOff>
      <xdr:row>4</xdr:row>
      <xdr:rowOff>28575</xdr:rowOff>
    </xdr:from>
    <xdr:ext cx="4657725" cy="38766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0</xdr:row>
      <xdr:rowOff>57150</xdr:rowOff>
    </xdr:from>
    <xdr:ext cx="3657600" cy="1438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0</xdr:row>
      <xdr:rowOff>5391150</xdr:rowOff>
    </xdr:from>
    <xdr:ext cx="2543175" cy="25336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et476.edu.ar/documentos/Aula%20Virtual/PORIFIRI-MANTYEQUIPOS-ACTV3.pdf" TargetMode="External"/><Relationship Id="rId2" Type="http://schemas.openxmlformats.org/officeDocument/2006/relationships/hyperlink" Target="https://spanish.alibaba.com/product-detail/Micro-adjustable-speed-forward-and-reverse-1600089937114.html" TargetMode="External"/><Relationship Id="rId3" Type="http://schemas.openxmlformats.org/officeDocument/2006/relationships/hyperlink" Target="https://getliner.com/file/pdf/7QJ2ZBDM26A21G18KSCVA5C8X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nosinmibici.com/2015/10/11/la-resistencia-a-la-rodadura-neumatico-ancho-o-estrecho/" TargetMode="External"/><Relationship Id="rId2" Type="http://schemas.openxmlformats.org/officeDocument/2006/relationships/hyperlink" Target="https://www.scielo.br/j/eagri/a/vTPRWyyf7GJff6HrFqkycWK/?lang=es" TargetMode="External"/><Relationship Id="rId3" Type="http://schemas.openxmlformats.org/officeDocument/2006/relationships/hyperlink" Target="https://apuntes-ing-mecanica.blogspot.com/2015/05/titulo-friccion-subtitulo-friccion-por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botmarketplace.com/products/0-pdx26.htm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dibattery.com/p11802677_bateria-de-litio-para-carro-de-golf-12v-24ah-kit-de-carga-36-45-hoyos-eco-batt.html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</cols>
  <sheetData>
    <row r="1">
      <c r="A1" s="1" t="s">
        <v>0</v>
      </c>
      <c r="B1" s="1">
        <v>72.0</v>
      </c>
      <c r="C1" s="1" t="s">
        <v>1</v>
      </c>
    </row>
    <row r="2">
      <c r="A2" s="2" t="s">
        <v>2</v>
      </c>
      <c r="B2" s="2">
        <v>227.0</v>
      </c>
      <c r="C2" s="1" t="s">
        <v>3</v>
      </c>
    </row>
    <row r="3">
      <c r="A3" s="1" t="s">
        <v>4</v>
      </c>
      <c r="B3" s="1">
        <v>1.0</v>
      </c>
      <c r="D3" s="1" t="s">
        <v>5</v>
      </c>
    </row>
    <row r="4">
      <c r="A4" s="1" t="s">
        <v>6</v>
      </c>
      <c r="B4" s="3">
        <f>B1*9.81</f>
        <v>706.32</v>
      </c>
    </row>
    <row r="5">
      <c r="A5" s="1" t="s">
        <v>7</v>
      </c>
      <c r="B5" s="1">
        <v>4.0</v>
      </c>
    </row>
    <row r="6">
      <c r="A6" s="4" t="s">
        <v>8</v>
      </c>
      <c r="B6" s="5">
        <f>B4/B5</f>
        <v>176.58</v>
      </c>
      <c r="C6" s="1" t="s">
        <v>9</v>
      </c>
    </row>
    <row r="7">
      <c r="A7" s="4" t="s">
        <v>10</v>
      </c>
      <c r="B7" s="5">
        <f>B6</f>
        <v>176.58</v>
      </c>
      <c r="C7" s="1" t="s">
        <v>9</v>
      </c>
    </row>
    <row r="8">
      <c r="A8" s="4" t="s">
        <v>11</v>
      </c>
      <c r="B8" s="5">
        <f>B7*B3</f>
        <v>176.58</v>
      </c>
      <c r="C8" s="1" t="s">
        <v>9</v>
      </c>
    </row>
    <row r="9">
      <c r="A9" s="6" t="s">
        <v>12</v>
      </c>
      <c r="B9" s="4" t="s">
        <v>13</v>
      </c>
      <c r="C9" s="4">
        <v>0.05</v>
      </c>
    </row>
    <row r="11">
      <c r="A11" s="1" t="s">
        <v>14</v>
      </c>
      <c r="B11" s="1" t="s">
        <v>15</v>
      </c>
    </row>
    <row r="12">
      <c r="A12" s="7" t="s">
        <v>16</v>
      </c>
      <c r="B12" s="1" t="s">
        <v>17</v>
      </c>
    </row>
    <row r="13">
      <c r="A13" s="1" t="s">
        <v>18</v>
      </c>
      <c r="B13" s="1" t="s">
        <v>19</v>
      </c>
    </row>
    <row r="14">
      <c r="B14" s="1" t="s">
        <v>20</v>
      </c>
    </row>
    <row r="15">
      <c r="H15" s="8" t="s">
        <v>21</v>
      </c>
    </row>
    <row r="16">
      <c r="A16" s="4" t="s">
        <v>22</v>
      </c>
      <c r="B16" s="5">
        <f>(B2/2)/1000*(B8+B7*C9)</f>
        <v>21.0439215</v>
      </c>
      <c r="C16" s="1" t="s">
        <v>23</v>
      </c>
    </row>
    <row r="19">
      <c r="A19" s="1" t="s">
        <v>24</v>
      </c>
      <c r="B19" s="1">
        <v>0.5</v>
      </c>
      <c r="C19" s="1" t="s">
        <v>25</v>
      </c>
      <c r="H19" s="8" t="s">
        <v>26</v>
      </c>
    </row>
    <row r="20">
      <c r="A20" s="9" t="s">
        <v>27</v>
      </c>
      <c r="B20" s="5">
        <f>B19*1000/(B2/2)</f>
        <v>4.405286344</v>
      </c>
      <c r="C20" s="1" t="s">
        <v>28</v>
      </c>
    </row>
    <row r="21">
      <c r="A21" s="10"/>
      <c r="B21" s="5">
        <f>B20*30/PI()</f>
        <v>42.06738584</v>
      </c>
      <c r="C21" s="1" t="s">
        <v>29</v>
      </c>
    </row>
    <row r="22">
      <c r="A22" s="1" t="s">
        <v>30</v>
      </c>
      <c r="B22" s="3">
        <f>B16*B20</f>
        <v>92.7045</v>
      </c>
      <c r="C22" s="1" t="s">
        <v>31</v>
      </c>
    </row>
    <row r="24">
      <c r="A24" s="1" t="s">
        <v>32</v>
      </c>
      <c r="B24" s="1">
        <v>0.9</v>
      </c>
    </row>
    <row r="25">
      <c r="A25" s="4" t="s">
        <v>33</v>
      </c>
      <c r="B25" s="5">
        <f>B22/B24</f>
        <v>103.005</v>
      </c>
    </row>
    <row r="43">
      <c r="H43" s="1" t="s">
        <v>34</v>
      </c>
    </row>
    <row r="44">
      <c r="H44" s="11" t="s">
        <v>35</v>
      </c>
    </row>
  </sheetData>
  <mergeCells count="1">
    <mergeCell ref="A20:A21"/>
  </mergeCells>
  <hyperlinks>
    <hyperlink r:id="rId1" ref="H15"/>
    <hyperlink r:id="rId2" ref="H19"/>
    <hyperlink r:id="rId3" ref="H4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43"/>
  </cols>
  <sheetData>
    <row r="1">
      <c r="A1" s="4" t="s">
        <v>0</v>
      </c>
      <c r="B1" s="12">
        <v>77.62</v>
      </c>
      <c r="C1" s="13" t="s">
        <v>1</v>
      </c>
    </row>
    <row r="2">
      <c r="A2" s="4" t="s">
        <v>2</v>
      </c>
      <c r="B2" s="12">
        <v>227.0</v>
      </c>
      <c r="C2" s="13" t="s">
        <v>3</v>
      </c>
    </row>
    <row r="3">
      <c r="A3" s="4" t="s">
        <v>4</v>
      </c>
      <c r="B3" s="12">
        <v>1.0</v>
      </c>
      <c r="C3" s="14"/>
      <c r="L3" s="1" t="s">
        <v>36</v>
      </c>
    </row>
    <row r="4">
      <c r="A4" s="4" t="s">
        <v>6</v>
      </c>
      <c r="B4" s="15">
        <f>B1*9.81</f>
        <v>761.4522</v>
      </c>
      <c r="C4" s="14"/>
      <c r="L4" s="11" t="s">
        <v>37</v>
      </c>
    </row>
    <row r="5">
      <c r="A5" s="4" t="s">
        <v>7</v>
      </c>
      <c r="B5" s="16">
        <v>4.0</v>
      </c>
      <c r="C5" s="17"/>
    </row>
    <row r="6">
      <c r="A6" s="18" t="s">
        <v>8</v>
      </c>
      <c r="B6" s="19">
        <f>B4/B5</f>
        <v>190.36305</v>
      </c>
      <c r="C6" s="13" t="s">
        <v>9</v>
      </c>
    </row>
    <row r="7">
      <c r="A7" s="18" t="s">
        <v>10</v>
      </c>
      <c r="B7" s="15">
        <f>B6</f>
        <v>190.36305</v>
      </c>
      <c r="C7" s="13" t="s">
        <v>9</v>
      </c>
    </row>
    <row r="8">
      <c r="A8" s="18" t="s">
        <v>11</v>
      </c>
      <c r="B8" s="15">
        <f>B7*B3</f>
        <v>190.36305</v>
      </c>
      <c r="C8" s="13" t="s">
        <v>9</v>
      </c>
    </row>
    <row r="9">
      <c r="A9" s="6" t="s">
        <v>12</v>
      </c>
      <c r="B9" s="20" t="s">
        <v>13</v>
      </c>
      <c r="C9" s="4">
        <v>0.05</v>
      </c>
      <c r="E9" s="8" t="s">
        <v>38</v>
      </c>
    </row>
    <row r="11">
      <c r="A11" s="1" t="s">
        <v>14</v>
      </c>
      <c r="B11" s="1" t="s">
        <v>39</v>
      </c>
    </row>
    <row r="12">
      <c r="A12" s="7" t="s">
        <v>16</v>
      </c>
      <c r="B12" s="1" t="s">
        <v>17</v>
      </c>
    </row>
    <row r="13">
      <c r="A13" s="1" t="s">
        <v>40</v>
      </c>
      <c r="C13" s="1" t="s">
        <v>41</v>
      </c>
    </row>
    <row r="15">
      <c r="A15" s="1" t="s">
        <v>18</v>
      </c>
      <c r="B15" s="1" t="s">
        <v>42</v>
      </c>
    </row>
    <row r="16">
      <c r="B16" s="1" t="s">
        <v>43</v>
      </c>
    </row>
    <row r="17">
      <c r="A17" s="1" t="s">
        <v>44</v>
      </c>
      <c r="B17" s="3">
        <f>B7*C9*(B2/2)/1000</f>
        <v>1.080310309</v>
      </c>
      <c r="C17" s="1" t="s">
        <v>45</v>
      </c>
    </row>
    <row r="18">
      <c r="A18" s="1" t="s">
        <v>46</v>
      </c>
      <c r="B18" s="3">
        <f>B17*2</f>
        <v>2.160620618</v>
      </c>
      <c r="L18" s="8" t="s">
        <v>47</v>
      </c>
    </row>
    <row r="20">
      <c r="A20" s="1" t="s">
        <v>24</v>
      </c>
      <c r="B20" s="1">
        <v>0.5</v>
      </c>
      <c r="C20" s="1" t="s">
        <v>25</v>
      </c>
    </row>
    <row r="21">
      <c r="A21" s="9" t="s">
        <v>27</v>
      </c>
      <c r="B21" s="5">
        <f>B20*1000/(B2/2)</f>
        <v>4.405286344</v>
      </c>
      <c r="C21" s="1" t="s">
        <v>28</v>
      </c>
    </row>
    <row r="22">
      <c r="A22" s="10"/>
      <c r="B22" s="5">
        <f>B21*30/PI()</f>
        <v>42.06738584</v>
      </c>
      <c r="C22" s="1" t="s">
        <v>29</v>
      </c>
    </row>
    <row r="23">
      <c r="A23" s="1" t="s">
        <v>30</v>
      </c>
      <c r="B23" s="3">
        <f>B18*B21</f>
        <v>9.5181525</v>
      </c>
      <c r="C23" s="1" t="s">
        <v>31</v>
      </c>
    </row>
    <row r="25">
      <c r="A25" s="1" t="s">
        <v>32</v>
      </c>
      <c r="B25" s="1">
        <v>0.5</v>
      </c>
    </row>
    <row r="26">
      <c r="A26" s="4" t="s">
        <v>33</v>
      </c>
      <c r="B26" s="5">
        <f>B23/B25</f>
        <v>19.036305</v>
      </c>
    </row>
  </sheetData>
  <mergeCells count="1">
    <mergeCell ref="A21:A22"/>
  </mergeCells>
  <hyperlinks>
    <hyperlink r:id="rId1" ref="L4"/>
    <hyperlink r:id="rId2" ref="E9"/>
    <hyperlink r:id="rId3" ref="L1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48</v>
      </c>
      <c r="G1" s="4" t="s">
        <v>49</v>
      </c>
      <c r="H1" s="5"/>
      <c r="K1" s="4" t="s">
        <v>49</v>
      </c>
      <c r="L1" s="5"/>
    </row>
    <row r="2">
      <c r="A2" s="1" t="s">
        <v>22</v>
      </c>
      <c r="B2" s="2">
        <v>2.001</v>
      </c>
      <c r="C2" s="2" t="s">
        <v>45</v>
      </c>
      <c r="D2" s="3">
        <f>B2/9.8*100</f>
        <v>20.41836735</v>
      </c>
      <c r="E2" s="1" t="s">
        <v>50</v>
      </c>
      <c r="G2" s="21">
        <f>145/8.85</f>
        <v>16.38418079</v>
      </c>
      <c r="H2" s="22" t="s">
        <v>51</v>
      </c>
      <c r="K2" s="21">
        <f>145/8.85</f>
        <v>16.38418079</v>
      </c>
      <c r="L2" s="22" t="s">
        <v>51</v>
      </c>
    </row>
    <row r="3">
      <c r="A3" s="1" t="s">
        <v>52</v>
      </c>
      <c r="B3" s="1">
        <v>43.0</v>
      </c>
      <c r="C3" s="1" t="s">
        <v>29</v>
      </c>
      <c r="G3" s="23">
        <v>900.0</v>
      </c>
      <c r="H3" s="4" t="s">
        <v>29</v>
      </c>
      <c r="K3" s="23">
        <v>900.0</v>
      </c>
      <c r="L3" s="4" t="s">
        <v>29</v>
      </c>
    </row>
    <row r="4">
      <c r="B4" s="3">
        <v>4.405286343612334</v>
      </c>
      <c r="C4" s="1" t="s">
        <v>28</v>
      </c>
      <c r="D4" s="3">
        <f>B4*60</f>
        <v>264.3171806</v>
      </c>
      <c r="E4" s="1" t="s">
        <v>53</v>
      </c>
      <c r="G4" s="5"/>
      <c r="H4" s="5"/>
      <c r="K4" s="5">
        <f>1432*60</f>
        <v>85920</v>
      </c>
      <c r="L4" s="4" t="s">
        <v>28</v>
      </c>
      <c r="M4" s="3">
        <f>K4/2*pi()*30</f>
        <v>4048884.612</v>
      </c>
      <c r="N4" s="3">
        <f>142</f>
        <v>142</v>
      </c>
    </row>
    <row r="5">
      <c r="A5" s="1" t="s">
        <v>54</v>
      </c>
      <c r="B5" s="1">
        <v>8.82</v>
      </c>
      <c r="C5" s="1" t="s">
        <v>27</v>
      </c>
      <c r="G5" s="4">
        <v>0.55</v>
      </c>
      <c r="H5" s="4" t="s">
        <v>55</v>
      </c>
      <c r="I5" s="3">
        <f>G5*746*0.45</f>
        <v>184.635</v>
      </c>
      <c r="K5" s="4">
        <v>16.9</v>
      </c>
      <c r="L5" s="4" t="s">
        <v>27</v>
      </c>
    </row>
    <row r="7">
      <c r="G7" s="11" t="s">
        <v>56</v>
      </c>
    </row>
    <row r="8">
      <c r="K8" s="4" t="s">
        <v>49</v>
      </c>
      <c r="L8" s="5"/>
    </row>
    <row r="9">
      <c r="G9" s="4" t="s">
        <v>49</v>
      </c>
      <c r="H9" s="5"/>
      <c r="K9" s="22">
        <v>0.13</v>
      </c>
      <c r="L9" s="22" t="s">
        <v>51</v>
      </c>
    </row>
    <row r="10">
      <c r="G10" s="21">
        <f>91/8.85</f>
        <v>10.28248588</v>
      </c>
      <c r="H10" s="22" t="s">
        <v>51</v>
      </c>
      <c r="K10" s="23">
        <v>1500.0</v>
      </c>
      <c r="L10" s="4" t="s">
        <v>29</v>
      </c>
    </row>
    <row r="11">
      <c r="G11" s="23">
        <v>1500.0</v>
      </c>
      <c r="H11" s="4" t="s">
        <v>29</v>
      </c>
      <c r="K11" s="5"/>
      <c r="L11" s="4"/>
    </row>
    <row r="12">
      <c r="G12" s="5"/>
      <c r="H12" s="5"/>
      <c r="K12" s="4">
        <v>20.0</v>
      </c>
      <c r="L12" s="4" t="s">
        <v>27</v>
      </c>
    </row>
    <row r="13">
      <c r="G13" s="4">
        <v>0.55</v>
      </c>
      <c r="H13" s="4" t="s">
        <v>55</v>
      </c>
      <c r="I13" s="3">
        <f>G13*746*0.45</f>
        <v>184.635</v>
      </c>
    </row>
    <row r="15">
      <c r="G15" s="1">
        <v>1.0</v>
      </c>
    </row>
    <row r="16">
      <c r="F16" s="1" t="s">
        <v>57</v>
      </c>
      <c r="G16" s="1">
        <v>10.0</v>
      </c>
      <c r="H16" s="1" t="s">
        <v>58</v>
      </c>
    </row>
    <row r="17">
      <c r="G17" s="1">
        <v>1250.0</v>
      </c>
      <c r="H17" s="1" t="s">
        <v>29</v>
      </c>
    </row>
    <row r="18">
      <c r="G18" s="1" t="s">
        <v>59</v>
      </c>
    </row>
    <row r="20">
      <c r="G20" s="1" t="s">
        <v>60</v>
      </c>
    </row>
  </sheetData>
  <hyperlinks>
    <hyperlink r:id="rId1" ref="G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4" width="16.43"/>
  </cols>
  <sheetData>
    <row r="2">
      <c r="A2" s="1" t="s">
        <v>61</v>
      </c>
      <c r="B2" s="24" t="s">
        <v>62</v>
      </c>
      <c r="C2" s="24" t="s">
        <v>63</v>
      </c>
      <c r="D2" s="24" t="s">
        <v>64</v>
      </c>
      <c r="E2" s="24" t="s">
        <v>65</v>
      </c>
      <c r="F2" s="24" t="s">
        <v>66</v>
      </c>
      <c r="G2" s="24" t="s">
        <v>67</v>
      </c>
    </row>
    <row r="3">
      <c r="B3" s="24" t="s">
        <v>68</v>
      </c>
      <c r="C3" s="24" t="s">
        <v>69</v>
      </c>
      <c r="D3" s="24">
        <v>1.0</v>
      </c>
      <c r="E3" s="24">
        <v>5.0</v>
      </c>
      <c r="F3" s="24">
        <v>0.04</v>
      </c>
      <c r="G3" s="25">
        <f t="shared" ref="G3:G7" si="1">E3*F3</f>
        <v>0.2</v>
      </c>
    </row>
    <row r="4">
      <c r="B4" s="24" t="s">
        <v>70</v>
      </c>
      <c r="C4" s="24" t="s">
        <v>71</v>
      </c>
      <c r="D4" s="24">
        <v>1.0</v>
      </c>
      <c r="E4" s="24">
        <v>5.0</v>
      </c>
      <c r="F4" s="24">
        <v>0.04</v>
      </c>
      <c r="G4" s="25">
        <f t="shared" si="1"/>
        <v>0.2</v>
      </c>
    </row>
    <row r="5">
      <c r="B5" s="24" t="s">
        <v>72</v>
      </c>
      <c r="C5" s="26" t="s">
        <v>73</v>
      </c>
      <c r="D5" s="24">
        <v>1.0</v>
      </c>
      <c r="E5" s="24">
        <v>3.3</v>
      </c>
      <c r="F5" s="24">
        <v>0.215</v>
      </c>
      <c r="G5" s="24">
        <f t="shared" si="1"/>
        <v>0.7095</v>
      </c>
    </row>
    <row r="6">
      <c r="B6" s="24" t="s">
        <v>74</v>
      </c>
      <c r="C6" s="24" t="s">
        <v>75</v>
      </c>
      <c r="D6" s="24">
        <v>1.0</v>
      </c>
      <c r="E6" s="24">
        <v>6.0</v>
      </c>
      <c r="F6" s="24">
        <v>0.07</v>
      </c>
      <c r="G6" s="24">
        <f t="shared" si="1"/>
        <v>0.42</v>
      </c>
    </row>
    <row r="7">
      <c r="B7" s="24" t="s">
        <v>76</v>
      </c>
      <c r="C7" s="24" t="s">
        <v>77</v>
      </c>
      <c r="D7" s="24">
        <v>1.0</v>
      </c>
      <c r="E7" s="24">
        <v>3.3</v>
      </c>
      <c r="F7" s="24">
        <v>0.002</v>
      </c>
      <c r="G7" s="24">
        <f t="shared" si="1"/>
        <v>0.0066</v>
      </c>
    </row>
    <row r="8">
      <c r="B8" s="24" t="s">
        <v>78</v>
      </c>
      <c r="C8" s="24" t="s">
        <v>79</v>
      </c>
      <c r="D8" s="24">
        <v>4.0</v>
      </c>
      <c r="E8" s="24">
        <v>5.0</v>
      </c>
      <c r="F8" s="24">
        <v>0.5</v>
      </c>
      <c r="G8" s="24">
        <f>E8*F8*D8</f>
        <v>10</v>
      </c>
    </row>
    <row r="9">
      <c r="B9" s="24" t="s">
        <v>80</v>
      </c>
      <c r="C9" s="27" t="s">
        <v>81</v>
      </c>
      <c r="D9" s="24">
        <v>4.0</v>
      </c>
      <c r="E9" s="24">
        <v>12.0</v>
      </c>
      <c r="F9" s="24">
        <v>1.5</v>
      </c>
      <c r="G9" s="24">
        <f t="shared" ref="G9:G12" si="2">E9*F9</f>
        <v>18</v>
      </c>
    </row>
    <row r="10">
      <c r="B10" s="24" t="s">
        <v>82</v>
      </c>
      <c r="C10" s="24" t="s">
        <v>83</v>
      </c>
      <c r="D10" s="24">
        <v>1.0</v>
      </c>
      <c r="E10" s="24">
        <v>5.0</v>
      </c>
      <c r="F10" s="24">
        <v>0.18</v>
      </c>
      <c r="G10" s="24">
        <f t="shared" si="2"/>
        <v>0.9</v>
      </c>
    </row>
    <row r="11">
      <c r="B11" s="24" t="s">
        <v>84</v>
      </c>
      <c r="C11" s="24" t="s">
        <v>85</v>
      </c>
      <c r="D11" s="24">
        <v>1.0</v>
      </c>
      <c r="E11" s="24">
        <v>5.0</v>
      </c>
      <c r="F11" s="24">
        <v>0.013</v>
      </c>
      <c r="G11" s="24">
        <f t="shared" si="2"/>
        <v>0.065</v>
      </c>
    </row>
    <row r="12">
      <c r="B12" s="24" t="s">
        <v>86</v>
      </c>
      <c r="C12" s="24" t="s">
        <v>87</v>
      </c>
      <c r="D12" s="24">
        <v>1.0</v>
      </c>
      <c r="E12" s="24">
        <v>12.0</v>
      </c>
      <c r="F12" s="24">
        <v>0.7</v>
      </c>
      <c r="G12" s="24">
        <f t="shared" si="2"/>
        <v>8.4</v>
      </c>
    </row>
    <row r="13">
      <c r="B13" s="28" t="s">
        <v>88</v>
      </c>
      <c r="C13" s="29"/>
      <c r="D13" s="29"/>
      <c r="E13" s="29"/>
      <c r="F13" s="29"/>
      <c r="G13" s="29">
        <f>SUM(G3:G12)</f>
        <v>38.9011</v>
      </c>
    </row>
    <row r="14">
      <c r="B14" s="1" t="s">
        <v>89</v>
      </c>
      <c r="F14" s="30">
        <f>SUM(F3:F12)</f>
        <v>3.26</v>
      </c>
      <c r="G14" s="3">
        <f>G13*1.5</f>
        <v>58.35165</v>
      </c>
    </row>
    <row r="15">
      <c r="G15" s="3">
        <f>G14/12*5</f>
        <v>24.3131875</v>
      </c>
      <c r="H15" s="1" t="s">
        <v>90</v>
      </c>
    </row>
    <row r="16">
      <c r="G16" s="3">
        <f>G14*5</f>
        <v>291.75825</v>
      </c>
      <c r="H16" s="1" t="s">
        <v>91</v>
      </c>
    </row>
    <row r="18">
      <c r="G18" s="1" t="s">
        <v>92</v>
      </c>
      <c r="H18" s="11" t="s">
        <v>93</v>
      </c>
    </row>
  </sheetData>
  <hyperlinks>
    <hyperlink r:id="rId1" ref="H18"/>
  </hyperlinks>
  <drawing r:id="rId2"/>
</worksheet>
</file>